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rchiesampson/Desktop/"/>
    </mc:Choice>
  </mc:AlternateContent>
  <xr:revisionPtr revIDLastSave="0" documentId="13_ncr:1000001_{8C1E1E42-7CB9-1643-95FB-4DC830A16956}" xr6:coauthVersionLast="47" xr6:coauthVersionMax="47" xr10:uidLastSave="{00000000-0000-0000-0000-000000000000}"/>
  <bookViews>
    <workbookView xWindow="0" yWindow="740" windowWidth="29400" windowHeight="16960" xr2:uid="{B7DEACFC-A54C-7E48-B523-BA9392F6500F}"/>
  </bookViews>
  <sheets>
    <sheet name="1.0 Qantas DCF" sheetId="5" r:id="rId1"/>
    <sheet name="2. FY23 P&amp;L" sheetId="1" r:id="rId2"/>
    <sheet name="3. FY23 Cash Flow" sheetId="3" r:id="rId3"/>
    <sheet name="4. Revenue Drivers" sheetId="7" r:id="rId4"/>
    <sheet name="5. Working Capital" sheetId="6" r:id="rId5"/>
    <sheet name="6. Effective Tax Rate" sheetId="8" r:id="rId6"/>
    <sheet name="7. Depreciation &amp; Amortisation" sheetId="9" r:id="rId7"/>
    <sheet name="8. Comparables" sheetId="10" r:id="rId8"/>
  </sheets>
  <definedNames>
    <definedName name="Diluted_Shares">'1.0 Qantas DCF'!$G$12</definedName>
    <definedName name="Discount_Rate">'1.0 Qantas DCF'!$G$15</definedName>
    <definedName name="Share_Price">'1.0 Qantas DCF'!$G$11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3" l="1"/>
  <c r="H13" i="3"/>
  <c r="H33" i="3"/>
  <c r="G33" i="3"/>
  <c r="F33" i="3"/>
  <c r="E33" i="3"/>
  <c r="H23" i="3"/>
  <c r="G23" i="3"/>
  <c r="G10" i="10"/>
  <c r="H10" i="10"/>
  <c r="G9" i="10"/>
  <c r="H9" i="10"/>
  <c r="G8" i="10"/>
  <c r="H8" i="10"/>
  <c r="F4" i="10"/>
  <c r="H4" i="10"/>
  <c r="G5" i="10"/>
  <c r="H5" i="10"/>
  <c r="H6" i="10"/>
  <c r="G7" i="10"/>
  <c r="H7" i="10"/>
  <c r="M10" i="5"/>
  <c r="G22" i="5"/>
  <c r="M22" i="5"/>
  <c r="R21" i="5"/>
  <c r="G23" i="5"/>
  <c r="M23" i="5"/>
  <c r="R22" i="5"/>
  <c r="M66" i="5"/>
  <c r="M93" i="5"/>
  <c r="L66" i="5"/>
  <c r="L93" i="5"/>
  <c r="K66" i="5"/>
  <c r="K93" i="5"/>
  <c r="J66" i="5"/>
  <c r="J93" i="5"/>
  <c r="I66" i="5"/>
  <c r="I93" i="5"/>
  <c r="M62" i="5"/>
  <c r="L62" i="5"/>
  <c r="H66" i="5"/>
  <c r="H93" i="5"/>
  <c r="O65" i="5"/>
  <c r="P65" i="5"/>
  <c r="Q65" i="5"/>
  <c r="R65" i="5"/>
  <c r="S65" i="5"/>
  <c r="H25" i="9"/>
  <c r="I25" i="9"/>
  <c r="F24" i="9"/>
  <c r="F23" i="9"/>
  <c r="G23" i="9"/>
  <c r="G22" i="9"/>
  <c r="G26" i="9"/>
  <c r="F26" i="9"/>
  <c r="F21" i="9"/>
  <c r="I17" i="9"/>
  <c r="H17" i="9"/>
  <c r="F15" i="9"/>
  <c r="I12" i="9"/>
  <c r="H12" i="9"/>
  <c r="F5" i="9"/>
  <c r="H99" i="5"/>
  <c r="J99" i="5"/>
  <c r="K99" i="5"/>
  <c r="G12" i="5"/>
  <c r="R25" i="5"/>
  <c r="J23" i="3"/>
  <c r="J13" i="3"/>
  <c r="J14" i="3"/>
  <c r="F23" i="3"/>
  <c r="E23" i="3"/>
  <c r="I19" i="3"/>
  <c r="I99" i="5"/>
  <c r="I13" i="3"/>
  <c r="I14" i="3"/>
  <c r="H14" i="3"/>
  <c r="G14" i="3"/>
  <c r="F14" i="3"/>
  <c r="E14" i="3"/>
  <c r="D9" i="6"/>
  <c r="D6" i="6"/>
  <c r="M21" i="5"/>
  <c r="R20" i="5"/>
  <c r="I6" i="8"/>
  <c r="H6" i="8"/>
  <c r="G6" i="8"/>
  <c r="F6" i="8"/>
  <c r="E6" i="8"/>
  <c r="D6" i="8"/>
  <c r="G14" i="5"/>
  <c r="I16" i="7"/>
  <c r="J16" i="7"/>
  <c r="K16" i="7"/>
  <c r="L16" i="7"/>
  <c r="M16" i="7"/>
  <c r="M58" i="5"/>
  <c r="L58" i="5"/>
  <c r="K58" i="5"/>
  <c r="J58" i="5"/>
  <c r="I58" i="5"/>
  <c r="H58" i="5"/>
  <c r="M81" i="5"/>
  <c r="L81" i="5"/>
  <c r="M80" i="5"/>
  <c r="M55" i="5"/>
  <c r="L80" i="5"/>
  <c r="L55" i="5"/>
  <c r="K80" i="5"/>
  <c r="K55" i="5"/>
  <c r="J80" i="5"/>
  <c r="J55" i="5"/>
  <c r="I80" i="5"/>
  <c r="I55" i="5"/>
  <c r="H80" i="5"/>
  <c r="H55" i="5"/>
  <c r="N72" i="5"/>
  <c r="O72" i="5"/>
  <c r="P72" i="5"/>
  <c r="Q72" i="5"/>
  <c r="R72" i="5"/>
  <c r="S72" i="5"/>
  <c r="E6" i="7"/>
  <c r="F6" i="7"/>
  <c r="G6" i="7"/>
  <c r="L38" i="5"/>
  <c r="K38" i="5"/>
  <c r="J38" i="5"/>
  <c r="D6" i="7"/>
  <c r="I38" i="5"/>
  <c r="C6" i="7"/>
  <c r="H38" i="5"/>
  <c r="L41" i="5"/>
  <c r="K41" i="5"/>
  <c r="J41" i="5"/>
  <c r="I41" i="5"/>
  <c r="H41" i="5"/>
  <c r="H44" i="5"/>
  <c r="L44" i="5"/>
  <c r="K44" i="5"/>
  <c r="J44" i="5"/>
  <c r="I44" i="5"/>
  <c r="M44" i="5"/>
  <c r="H6" i="7"/>
  <c r="H4" i="7"/>
  <c r="C10" i="7"/>
  <c r="H15" i="7"/>
  <c r="I15" i="7"/>
  <c r="J15" i="7"/>
  <c r="L22" i="7"/>
  <c r="M22" i="7"/>
  <c r="N22" i="7"/>
  <c r="H22" i="7"/>
  <c r="I22" i="7"/>
  <c r="G22" i="7"/>
  <c r="F22" i="7"/>
  <c r="E22" i="7"/>
  <c r="D22" i="7"/>
  <c r="N35" i="5"/>
  <c r="O35" i="5"/>
  <c r="P35" i="5"/>
  <c r="Q35" i="5"/>
  <c r="R35" i="5"/>
  <c r="S35" i="5"/>
  <c r="M41" i="5"/>
  <c r="I5" i="7"/>
  <c r="J5" i="7"/>
  <c r="K5" i="7"/>
  <c r="L5" i="7"/>
  <c r="M5" i="7"/>
  <c r="L35" i="5"/>
  <c r="K35" i="5"/>
  <c r="J35" i="5"/>
  <c r="I35" i="5"/>
  <c r="H35" i="5"/>
  <c r="J33" i="3"/>
  <c r="I33" i="3"/>
  <c r="H6" i="6"/>
  <c r="G6" i="6"/>
  <c r="F6" i="6"/>
  <c r="E6" i="6"/>
  <c r="H9" i="6"/>
  <c r="G9" i="6"/>
  <c r="F9" i="6"/>
  <c r="E9" i="6"/>
  <c r="H76" i="5"/>
  <c r="H48" i="5"/>
  <c r="H75" i="5"/>
  <c r="I76" i="5"/>
  <c r="I48" i="5"/>
  <c r="I75" i="5"/>
  <c r="J76" i="5"/>
  <c r="J48" i="5"/>
  <c r="J75" i="5"/>
  <c r="K76" i="5"/>
  <c r="K48" i="5"/>
  <c r="K75" i="5"/>
  <c r="J18" i="1"/>
  <c r="H81" i="5"/>
  <c r="I18" i="1"/>
  <c r="I19" i="1"/>
  <c r="J31" i="1"/>
  <c r="J23" i="1"/>
  <c r="J9" i="1"/>
  <c r="H18" i="1"/>
  <c r="H19" i="1"/>
  <c r="G18" i="1"/>
  <c r="G19" i="1"/>
  <c r="I31" i="1"/>
  <c r="H31" i="1"/>
  <c r="G31" i="1"/>
  <c r="I23" i="1"/>
  <c r="H23" i="1"/>
  <c r="G23" i="1"/>
  <c r="I9" i="1"/>
  <c r="H9" i="1"/>
  <c r="G9" i="1"/>
  <c r="L72" i="5"/>
  <c r="K72" i="5"/>
  <c r="J72" i="5"/>
  <c r="I72" i="5"/>
  <c r="H72" i="5"/>
  <c r="I9" i="6"/>
  <c r="J9" i="6"/>
  <c r="I6" i="6"/>
  <c r="J6" i="6"/>
  <c r="M99" i="5"/>
  <c r="L99" i="5"/>
  <c r="M76" i="5"/>
  <c r="M48" i="5"/>
  <c r="M75" i="5"/>
  <c r="L76" i="5"/>
  <c r="L48" i="5"/>
  <c r="L75" i="5"/>
  <c r="F31" i="1"/>
  <c r="E31" i="1"/>
  <c r="F23" i="1"/>
  <c r="E23" i="1"/>
  <c r="F19" i="1"/>
  <c r="E19" i="1"/>
  <c r="F9" i="1"/>
  <c r="E9" i="1"/>
  <c r="G14" i="9"/>
  <c r="G15" i="9"/>
  <c r="F22" i="9"/>
  <c r="F6" i="9"/>
  <c r="F7" i="9"/>
  <c r="G5" i="9"/>
  <c r="G6" i="9"/>
  <c r="G21" i="9"/>
  <c r="E20" i="1"/>
  <c r="I81" i="5"/>
  <c r="I68" i="5"/>
  <c r="J19" i="1"/>
  <c r="J81" i="5"/>
  <c r="K81" i="5"/>
  <c r="K68" i="5"/>
  <c r="I23" i="3"/>
  <c r="I34" i="3"/>
  <c r="I37" i="3"/>
  <c r="L64" i="5"/>
  <c r="D10" i="6"/>
  <c r="M68" i="5"/>
  <c r="I26" i="9"/>
  <c r="G8" i="9"/>
  <c r="F9" i="9"/>
  <c r="G24" i="9"/>
  <c r="G7" i="9"/>
  <c r="H26" i="9"/>
  <c r="G16" i="9"/>
  <c r="G9" i="9"/>
  <c r="F10" i="9"/>
  <c r="F19" i="9"/>
  <c r="F14" i="9"/>
  <c r="G10" i="9"/>
  <c r="F11" i="9"/>
  <c r="F20" i="9"/>
  <c r="F8" i="9"/>
  <c r="G11" i="9"/>
  <c r="G19" i="9"/>
  <c r="F16" i="9"/>
  <c r="G20" i="9"/>
  <c r="M64" i="5"/>
  <c r="N64" i="5"/>
  <c r="O64" i="5"/>
  <c r="P64" i="5"/>
  <c r="Q64" i="5"/>
  <c r="R64" i="5"/>
  <c r="S64" i="5"/>
  <c r="H68" i="5"/>
  <c r="J68" i="5"/>
  <c r="L68" i="5"/>
  <c r="L63" i="5"/>
  <c r="G20" i="5"/>
  <c r="G24" i="5"/>
  <c r="M26" i="5"/>
  <c r="E34" i="3"/>
  <c r="E37" i="3"/>
  <c r="F34" i="3"/>
  <c r="F37" i="3"/>
  <c r="H56" i="5"/>
  <c r="E10" i="6"/>
  <c r="J56" i="5"/>
  <c r="L56" i="5"/>
  <c r="I56" i="5"/>
  <c r="M46" i="5"/>
  <c r="K56" i="5"/>
  <c r="K46" i="5"/>
  <c r="K47" i="5"/>
  <c r="L51" i="5"/>
  <c r="I46" i="5"/>
  <c r="I47" i="5"/>
  <c r="H51" i="5"/>
  <c r="K51" i="5"/>
  <c r="J51" i="5"/>
  <c r="I51" i="5"/>
  <c r="J46" i="5"/>
  <c r="J47" i="5"/>
  <c r="H53" i="5"/>
  <c r="K53" i="5"/>
  <c r="K59" i="5"/>
  <c r="J53" i="5"/>
  <c r="I53" i="5"/>
  <c r="I59" i="5"/>
  <c r="L53" i="5"/>
  <c r="L59" i="5"/>
  <c r="H46" i="5"/>
  <c r="H47" i="5"/>
  <c r="L46" i="5"/>
  <c r="L47" i="5"/>
  <c r="H10" i="6"/>
  <c r="F10" i="6"/>
  <c r="G10" i="6"/>
  <c r="G11" i="6"/>
  <c r="J95" i="5"/>
  <c r="J10" i="6"/>
  <c r="I21" i="7"/>
  <c r="I23" i="7"/>
  <c r="N44" i="5"/>
  <c r="J22" i="7"/>
  <c r="C11" i="7"/>
  <c r="C12" i="7"/>
  <c r="I4" i="7"/>
  <c r="J4" i="7"/>
  <c r="M38" i="5"/>
  <c r="M63" i="5"/>
  <c r="J77" i="5"/>
  <c r="J100" i="5"/>
  <c r="J17" i="7"/>
  <c r="O41" i="5"/>
  <c r="K15" i="7"/>
  <c r="I17" i="7"/>
  <c r="N41" i="5"/>
  <c r="K77" i="5"/>
  <c r="K100" i="5"/>
  <c r="G34" i="3"/>
  <c r="G37" i="3"/>
  <c r="H34" i="3"/>
  <c r="H37" i="3"/>
  <c r="J34" i="3"/>
  <c r="J37" i="3"/>
  <c r="I10" i="6"/>
  <c r="H77" i="5"/>
  <c r="H100" i="5"/>
  <c r="M77" i="5"/>
  <c r="I77" i="5"/>
  <c r="I100" i="5"/>
  <c r="J20" i="1"/>
  <c r="J24" i="1"/>
  <c r="J26" i="1"/>
  <c r="G20" i="1"/>
  <c r="G24" i="1"/>
  <c r="G26" i="1"/>
  <c r="H20" i="1"/>
  <c r="H24" i="1"/>
  <c r="H26" i="1"/>
  <c r="I20" i="1"/>
  <c r="I24" i="1"/>
  <c r="I26" i="1"/>
  <c r="L77" i="5"/>
  <c r="E24" i="1"/>
  <c r="E26" i="1"/>
  <c r="F20" i="1"/>
  <c r="F24" i="1"/>
  <c r="F26" i="1"/>
  <c r="E11" i="6"/>
  <c r="H95" i="5"/>
  <c r="H97" i="5"/>
  <c r="M65" i="5"/>
  <c r="F11" i="6"/>
  <c r="I95" i="5"/>
  <c r="J62" i="5"/>
  <c r="K62" i="5"/>
  <c r="D19" i="9"/>
  <c r="D7" i="9"/>
  <c r="E22" i="9"/>
  <c r="E10" i="9"/>
  <c r="D16" i="9"/>
  <c r="D6" i="9"/>
  <c r="E21" i="9"/>
  <c r="E9" i="9"/>
  <c r="E15" i="9"/>
  <c r="D9" i="9"/>
  <c r="E24" i="9"/>
  <c r="E14" i="9"/>
  <c r="E16" i="9"/>
  <c r="E17" i="9"/>
  <c r="D15" i="9"/>
  <c r="D5" i="9"/>
  <c r="E20" i="9"/>
  <c r="E8" i="9"/>
  <c r="D10" i="9"/>
  <c r="D21" i="9"/>
  <c r="D24" i="9"/>
  <c r="D14" i="9"/>
  <c r="E19" i="9"/>
  <c r="E7" i="9"/>
  <c r="D23" i="9"/>
  <c r="D11" i="9"/>
  <c r="E6" i="9"/>
  <c r="D22" i="9"/>
  <c r="E5" i="9"/>
  <c r="E23" i="9"/>
  <c r="D20" i="9"/>
  <c r="E11" i="9"/>
  <c r="D8" i="9"/>
  <c r="J69" i="5"/>
  <c r="J59" i="5"/>
  <c r="H69" i="5"/>
  <c r="M47" i="5"/>
  <c r="N47" i="5"/>
  <c r="O47" i="5"/>
  <c r="P47" i="5"/>
  <c r="Q47" i="5"/>
  <c r="R47" i="5"/>
  <c r="S47" i="5"/>
  <c r="I69" i="5"/>
  <c r="L69" i="5"/>
  <c r="H59" i="5"/>
  <c r="M56" i="5"/>
  <c r="N56" i="5"/>
  <c r="O56" i="5"/>
  <c r="P56" i="5"/>
  <c r="Q56" i="5"/>
  <c r="R56" i="5"/>
  <c r="S56" i="5"/>
  <c r="K69" i="5"/>
  <c r="K83" i="5"/>
  <c r="K105" i="5"/>
  <c r="J83" i="5"/>
  <c r="J105" i="5"/>
  <c r="K106" i="5"/>
  <c r="K78" i="5"/>
  <c r="M83" i="5"/>
  <c r="M105" i="5"/>
  <c r="M78" i="5"/>
  <c r="L83" i="5"/>
  <c r="L105" i="5"/>
  <c r="L78" i="5"/>
  <c r="J78" i="5"/>
  <c r="I83" i="5"/>
  <c r="I105" i="5"/>
  <c r="I78" i="5"/>
  <c r="M53" i="5"/>
  <c r="M51" i="5"/>
  <c r="N51" i="5"/>
  <c r="O51" i="5"/>
  <c r="P51" i="5"/>
  <c r="Q51" i="5"/>
  <c r="R51" i="5"/>
  <c r="S51" i="5"/>
  <c r="J97" i="5"/>
  <c r="H11" i="6"/>
  <c r="K95" i="5"/>
  <c r="J11" i="6"/>
  <c r="M95" i="5"/>
  <c r="I11" i="6"/>
  <c r="L95" i="5"/>
  <c r="I6" i="7"/>
  <c r="N38" i="5"/>
  <c r="J21" i="7"/>
  <c r="M100" i="5"/>
  <c r="N100" i="5"/>
  <c r="O100" i="5"/>
  <c r="P100" i="5"/>
  <c r="Q100" i="5"/>
  <c r="R100" i="5"/>
  <c r="S100" i="5"/>
  <c r="K17" i="7"/>
  <c r="P41" i="5"/>
  <c r="L15" i="7"/>
  <c r="K4" i="7"/>
  <c r="J6" i="7"/>
  <c r="O38" i="5"/>
  <c r="I96" i="5"/>
  <c r="H83" i="5"/>
  <c r="H105" i="5"/>
  <c r="I97" i="5"/>
  <c r="J96" i="5"/>
  <c r="L100" i="5"/>
  <c r="K21" i="7"/>
  <c r="J23" i="7"/>
  <c r="O44" i="5"/>
  <c r="D12" i="9"/>
  <c r="E25" i="9"/>
  <c r="I106" i="5"/>
  <c r="J106" i="5"/>
  <c r="L106" i="5"/>
  <c r="M106" i="5"/>
  <c r="K96" i="5"/>
  <c r="L97" i="5"/>
  <c r="M97" i="5"/>
  <c r="N97" i="5"/>
  <c r="O97" i="5"/>
  <c r="P97" i="5"/>
  <c r="Q97" i="5"/>
  <c r="R97" i="5"/>
  <c r="S97" i="5"/>
  <c r="D17" i="9"/>
  <c r="E12" i="9"/>
  <c r="D25" i="9"/>
  <c r="H62" i="5"/>
  <c r="I62" i="5"/>
  <c r="K64" i="5"/>
  <c r="L65" i="5"/>
  <c r="K63" i="5"/>
  <c r="J64" i="5"/>
  <c r="J63" i="5"/>
  <c r="L84" i="5"/>
  <c r="L87" i="5"/>
  <c r="L89" i="5"/>
  <c r="L102" i="5"/>
  <c r="M87" i="5"/>
  <c r="M89" i="5"/>
  <c r="M102" i="5"/>
  <c r="J87" i="5"/>
  <c r="J89" i="5"/>
  <c r="J102" i="5"/>
  <c r="H84" i="5"/>
  <c r="H87" i="5"/>
  <c r="H89" i="5"/>
  <c r="H102" i="5"/>
  <c r="K87" i="5"/>
  <c r="K89" i="5"/>
  <c r="K102" i="5"/>
  <c r="I87" i="5"/>
  <c r="I89" i="5"/>
  <c r="I102" i="5"/>
  <c r="N55" i="5"/>
  <c r="N80" i="5"/>
  <c r="O55" i="5"/>
  <c r="O80" i="5"/>
  <c r="M59" i="5"/>
  <c r="N59" i="5"/>
  <c r="O59" i="5"/>
  <c r="P59" i="5"/>
  <c r="Q59" i="5"/>
  <c r="R59" i="5"/>
  <c r="M69" i="5"/>
  <c r="I84" i="5"/>
  <c r="M84" i="5"/>
  <c r="K84" i="5"/>
  <c r="L85" i="5"/>
  <c r="M85" i="5"/>
  <c r="N46" i="5"/>
  <c r="N48" i="5"/>
  <c r="N50" i="5"/>
  <c r="O46" i="5"/>
  <c r="O48" i="5"/>
  <c r="O50" i="5"/>
  <c r="J84" i="5"/>
  <c r="J85" i="5"/>
  <c r="K97" i="5"/>
  <c r="L96" i="5"/>
  <c r="K85" i="5"/>
  <c r="M96" i="5"/>
  <c r="L17" i="7"/>
  <c r="Q41" i="5"/>
  <c r="M15" i="7"/>
  <c r="L4" i="7"/>
  <c r="K6" i="7"/>
  <c r="P38" i="5"/>
  <c r="I85" i="5"/>
  <c r="L21" i="7"/>
  <c r="K23" i="7"/>
  <c r="P44" i="5"/>
  <c r="K65" i="5"/>
  <c r="L103" i="5"/>
  <c r="K103" i="5"/>
  <c r="I103" i="5"/>
  <c r="J103" i="5"/>
  <c r="M103" i="5"/>
  <c r="H64" i="5"/>
  <c r="H63" i="5"/>
  <c r="I64" i="5"/>
  <c r="I63" i="5"/>
  <c r="P55" i="5"/>
  <c r="P80" i="5"/>
  <c r="N69" i="5"/>
  <c r="S59" i="5"/>
  <c r="O53" i="5"/>
  <c r="N53" i="5"/>
  <c r="P46" i="5"/>
  <c r="P48" i="5"/>
  <c r="P50" i="5"/>
  <c r="M17" i="7"/>
  <c r="R41" i="5"/>
  <c r="N15" i="7"/>
  <c r="N17" i="7"/>
  <c r="S41" i="5"/>
  <c r="M4" i="7"/>
  <c r="L6" i="7"/>
  <c r="Q38" i="5"/>
  <c r="M21" i="7"/>
  <c r="L23" i="7"/>
  <c r="Q44" i="5"/>
  <c r="J65" i="5"/>
  <c r="I65" i="5"/>
  <c r="N63" i="5"/>
  <c r="O69" i="5"/>
  <c r="N68" i="5"/>
  <c r="Q55" i="5"/>
  <c r="Q80" i="5"/>
  <c r="O77" i="5"/>
  <c r="O58" i="5"/>
  <c r="N77" i="5"/>
  <c r="N58" i="5"/>
  <c r="P53" i="5"/>
  <c r="Q46" i="5"/>
  <c r="Q48" i="5"/>
  <c r="Q50" i="5"/>
  <c r="N4" i="7"/>
  <c r="N6" i="7"/>
  <c r="S38" i="5"/>
  <c r="M6" i="7"/>
  <c r="R38" i="5"/>
  <c r="N21" i="7"/>
  <c r="N23" i="7"/>
  <c r="S44" i="5"/>
  <c r="M23" i="7"/>
  <c r="R44" i="5"/>
  <c r="O63" i="5"/>
  <c r="N62" i="5"/>
  <c r="N66" i="5"/>
  <c r="N93" i="5"/>
  <c r="P69" i="5"/>
  <c r="O68" i="5"/>
  <c r="R55" i="5"/>
  <c r="R80" i="5"/>
  <c r="N95" i="5"/>
  <c r="N99" i="5"/>
  <c r="O95" i="5"/>
  <c r="O99" i="5"/>
  <c r="P77" i="5"/>
  <c r="P78" i="5"/>
  <c r="P58" i="5"/>
  <c r="O78" i="5"/>
  <c r="N78" i="5"/>
  <c r="S55" i="5"/>
  <c r="S80" i="5"/>
  <c r="R46" i="5"/>
  <c r="S46" i="5"/>
  <c r="S48" i="5"/>
  <c r="Q53" i="5"/>
  <c r="R48" i="5"/>
  <c r="R50" i="5"/>
  <c r="P63" i="5"/>
  <c r="O62" i="5"/>
  <c r="O66" i="5"/>
  <c r="O93" i="5"/>
  <c r="N81" i="5"/>
  <c r="Q69" i="5"/>
  <c r="P68" i="5"/>
  <c r="P95" i="5"/>
  <c r="P99" i="5"/>
  <c r="Q77" i="5"/>
  <c r="Q58" i="5"/>
  <c r="R53" i="5"/>
  <c r="S50" i="5"/>
  <c r="S53" i="5"/>
  <c r="S68" i="5"/>
  <c r="Q63" i="5"/>
  <c r="P62" i="5"/>
  <c r="P66" i="5"/>
  <c r="P93" i="5"/>
  <c r="O81" i="5"/>
  <c r="R69" i="5"/>
  <c r="R68" i="5"/>
  <c r="Q68" i="5"/>
  <c r="Q78" i="5"/>
  <c r="Q95" i="5"/>
  <c r="Q99" i="5"/>
  <c r="R77" i="5"/>
  <c r="R78" i="5"/>
  <c r="R58" i="5"/>
  <c r="S77" i="5"/>
  <c r="S58" i="5"/>
  <c r="R63" i="5"/>
  <c r="Q62" i="5"/>
  <c r="Q66" i="5"/>
  <c r="Q93" i="5"/>
  <c r="P81" i="5"/>
  <c r="R95" i="5"/>
  <c r="R99" i="5"/>
  <c r="S78" i="5"/>
  <c r="S99" i="5"/>
  <c r="S95" i="5"/>
  <c r="S63" i="5"/>
  <c r="S62" i="5"/>
  <c r="S66" i="5"/>
  <c r="R62" i="5"/>
  <c r="R66" i="5"/>
  <c r="Q81" i="5"/>
  <c r="R93" i="5"/>
  <c r="R81" i="5"/>
  <c r="S93" i="5"/>
  <c r="S81" i="5"/>
  <c r="R83" i="5"/>
  <c r="R105" i="5"/>
  <c r="Q83" i="5"/>
  <c r="Q105" i="5"/>
  <c r="P83" i="5"/>
  <c r="P105" i="5"/>
  <c r="O83" i="5"/>
  <c r="O105" i="5"/>
  <c r="P106" i="5"/>
  <c r="N83" i="5"/>
  <c r="S83" i="5"/>
  <c r="N87" i="5"/>
  <c r="N89" i="5"/>
  <c r="N102" i="5"/>
  <c r="N105" i="5"/>
  <c r="N106" i="5"/>
  <c r="Q106" i="5"/>
  <c r="R106" i="5"/>
  <c r="S87" i="5"/>
  <c r="S89" i="5"/>
  <c r="S102" i="5"/>
  <c r="S105" i="5"/>
  <c r="S85" i="5"/>
  <c r="S84" i="5"/>
  <c r="Q84" i="5"/>
  <c r="Q85" i="5"/>
  <c r="Q87" i="5"/>
  <c r="Q89" i="5"/>
  <c r="Q102" i="5"/>
  <c r="O85" i="5"/>
  <c r="O84" i="5"/>
  <c r="P85" i="5"/>
  <c r="O87" i="5"/>
  <c r="O89" i="5"/>
  <c r="O102" i="5"/>
  <c r="N84" i="5"/>
  <c r="N85" i="5"/>
  <c r="R85" i="5"/>
  <c r="R87" i="5"/>
  <c r="R89" i="5"/>
  <c r="R102" i="5"/>
  <c r="R84" i="5"/>
  <c r="P87" i="5"/>
  <c r="P89" i="5"/>
  <c r="P102" i="5"/>
  <c r="P84" i="5"/>
  <c r="S106" i="5"/>
  <c r="M12" i="5"/>
  <c r="M15" i="5"/>
  <c r="R11" i="5"/>
  <c r="N103" i="5"/>
  <c r="R15" i="5"/>
  <c r="M16" i="5"/>
  <c r="M17" i="5"/>
  <c r="S103" i="5"/>
  <c r="Q103" i="5"/>
  <c r="P103" i="5"/>
  <c r="O103" i="5"/>
  <c r="R103" i="5"/>
  <c r="O106" i="5"/>
  <c r="M13" i="5"/>
  <c r="M24" i="5"/>
  <c r="M28" i="5"/>
  <c r="M29" i="5"/>
  <c r="M19" i="5"/>
  <c r="R12" i="5"/>
  <c r="R14" i="5"/>
  <c r="R16" i="5"/>
  <c r="R23" i="5"/>
  <c r="R27" i="5"/>
  <c r="R28" i="5"/>
  <c r="R18" i="5"/>
</calcChain>
</file>

<file path=xl/sharedStrings.xml><?xml version="1.0" encoding="utf-8"?>
<sst xmlns="http://schemas.openxmlformats.org/spreadsheetml/2006/main" count="420" uniqueCount="249">
  <si>
    <t>REVENUE AND OTHER INCOME</t>
  </si>
  <si>
    <t>Net passenger revenue</t>
  </si>
  <si>
    <t>Net freight revenue</t>
  </si>
  <si>
    <t>Other revenue and income</t>
  </si>
  <si>
    <t>Revenue and other income</t>
  </si>
  <si>
    <t>EXPENDITURE</t>
  </si>
  <si>
    <t>Salaries, wages and other benefits</t>
  </si>
  <si>
    <t>Aircraft operating variable</t>
  </si>
  <si>
    <t>Fuel</t>
  </si>
  <si>
    <t>Depreciation and amortisation</t>
  </si>
  <si>
    <t>Share of net loss of investments accounted for under the equity method</t>
  </si>
  <si>
    <t>Net gain on disposal of assets</t>
  </si>
  <si>
    <t>Other</t>
  </si>
  <si>
    <t>Expenditure</t>
  </si>
  <si>
    <t>Statutory profit/(loss) before income tax expense and net finance costs</t>
  </si>
  <si>
    <t>Finance income</t>
  </si>
  <si>
    <t>Finance costs</t>
  </si>
  <si>
    <t>Net finance costs</t>
  </si>
  <si>
    <t>Statutory profit/(loss) before income tax expense</t>
  </si>
  <si>
    <t>Income tax (expense)/benefit</t>
  </si>
  <si>
    <t>Statutory profit/(loss) for the year</t>
  </si>
  <si>
    <t>Attributable to:</t>
  </si>
  <si>
    <t>Members of Qantas</t>
  </si>
  <si>
    <t>Non-controlling interests</t>
  </si>
  <si>
    <t>EARNINGS PER SHARE ATTRIBUTABLE TO MEMBERS OF QANTAS</t>
  </si>
  <si>
    <t>Basic Earnings/(Losse) Per Share (cents)</t>
  </si>
  <si>
    <t>Diluted Earnings/(Losse) Per Share (cents)</t>
  </si>
  <si>
    <t>Notes</t>
  </si>
  <si>
    <t>$M</t>
  </si>
  <si>
    <t>4(B)</t>
  </si>
  <si>
    <t>CASH FLOWS FROM OPERATING ACTIVITIES</t>
  </si>
  <si>
    <t>Cash payments to suppliers and employees</t>
  </si>
  <si>
    <t>Interest received</t>
  </si>
  <si>
    <t>Interest paid (interest-bearing liabilities)</t>
  </si>
  <si>
    <t>Interest paid (lease liabilities)</t>
  </si>
  <si>
    <t>Dividends received from investments accounted for under the equity method</t>
  </si>
  <si>
    <t>Foreign income taxes paid</t>
  </si>
  <si>
    <t>Net cash inflow from operating activities</t>
  </si>
  <si>
    <t>CASH FLOWS FROM INVESTING ACTIVITIES</t>
  </si>
  <si>
    <t>Payments for property, plant and equipment and intangible assets</t>
  </si>
  <si>
    <t>Interest paid and capitalised on qualifying assets</t>
  </si>
  <si>
    <t>Proceeds from disposal of property, plant and equipment, net of costs</t>
  </si>
  <si>
    <t>Proceeds from disposal of shares in investments accounted for under the equity method</t>
  </si>
  <si>
    <t>Payments for investments accounted for under the equity method</t>
  </si>
  <si>
    <t>Payments for acquisition of subsidiary, net of cash acquired</t>
  </si>
  <si>
    <t>Net cash outflow from investing activities</t>
  </si>
  <si>
    <t>CASH FLOWS FROM FINANCING ACTIVITIES</t>
  </si>
  <si>
    <t>Payments for share buy-back</t>
  </si>
  <si>
    <t>Payments for treasury shares</t>
  </si>
  <si>
    <t>Repayments of lease liabilities</t>
  </si>
  <si>
    <t>Proceeds from lease receivables</t>
  </si>
  <si>
    <t>Dividends paid to non-controlling interests</t>
  </si>
  <si>
    <t>Net cash outflow from financing activities</t>
  </si>
  <si>
    <t>Net (decrease)/increase in cash and cash equivalents held</t>
  </si>
  <si>
    <t>Cash and cash equivalents at the beginning of the year</t>
  </si>
  <si>
    <t>Effects of exchange rate changes on cash and cash equivalents</t>
  </si>
  <si>
    <t>Cash and cash equivalents at the end of the year</t>
  </si>
  <si>
    <t>Cash receipts from customers</t>
  </si>
  <si>
    <t>Proceeds from interest-bearing liabilities, net of costs</t>
  </si>
  <si>
    <t>Repayments from interest-bearing liabilities</t>
  </si>
  <si>
    <t>($ AUD in Millions unless otherwise stated)</t>
  </si>
  <si>
    <t>Qantas Airways Limited - DCF Assumptions &amp; Output</t>
  </si>
  <si>
    <t>Assumptions and Drivers</t>
  </si>
  <si>
    <t>FY22</t>
  </si>
  <si>
    <t>FY23</t>
  </si>
  <si>
    <t>Units:</t>
  </si>
  <si>
    <t>DCF Analysis - Qantas Airways Limited</t>
  </si>
  <si>
    <t>Net Sales by Segment:</t>
  </si>
  <si>
    <t>Total Consolidated Sales</t>
  </si>
  <si>
    <t>$ M</t>
  </si>
  <si>
    <t>Qantas Limited - FCF Projections</t>
  </si>
  <si>
    <t>(-) COGS:</t>
  </si>
  <si>
    <t>(-) Operating Expenses:</t>
  </si>
  <si>
    <t>Operating Income (EBIT):</t>
  </si>
  <si>
    <t>(-) Taxes, Excluding Effect of Interest:</t>
  </si>
  <si>
    <t>Net Operating Profit After Taxes (NOPAT):</t>
  </si>
  <si>
    <t>Adjustments for Non-Cash Charges:</t>
  </si>
  <si>
    <t>(+/-) Net Change in Working Capital</t>
  </si>
  <si>
    <t>(-) Capital Expenditures</t>
  </si>
  <si>
    <t>Receivables</t>
  </si>
  <si>
    <t>Inventories</t>
  </si>
  <si>
    <t>Current Assets</t>
  </si>
  <si>
    <t>Payables</t>
  </si>
  <si>
    <t>Revenue received in advance</t>
  </si>
  <si>
    <t>Current Liabilities</t>
  </si>
  <si>
    <t>Working Capital</t>
  </si>
  <si>
    <t>Change in Working Capital</t>
  </si>
  <si>
    <t>Operating Margin:</t>
  </si>
  <si>
    <t>%</t>
  </si>
  <si>
    <t>Growth Rate</t>
  </si>
  <si>
    <t>% Change in Revenue</t>
  </si>
  <si>
    <t>% Revenue</t>
  </si>
  <si>
    <t>Domestic passenger revenue</t>
  </si>
  <si>
    <t>International passenger revenue</t>
  </si>
  <si>
    <t>Domestic</t>
  </si>
  <si>
    <t>International</t>
  </si>
  <si>
    <t>Qantas Market Share</t>
  </si>
  <si>
    <t>Total Market</t>
  </si>
  <si>
    <t>Qantas Share</t>
  </si>
  <si>
    <t>FY24</t>
  </si>
  <si>
    <t>FY25</t>
  </si>
  <si>
    <t>FY26</t>
  </si>
  <si>
    <t>FY27</t>
  </si>
  <si>
    <t>FY28</t>
  </si>
  <si>
    <t>FY29</t>
  </si>
  <si>
    <t>Qantas Share Rex Revenue</t>
  </si>
  <si>
    <t>Rex Revenue</t>
  </si>
  <si>
    <t>Adjusted Qantas Revenue</t>
  </si>
  <si>
    <t>Adjusted Qantas Market Share</t>
  </si>
  <si>
    <t>Refer to Revenue Drivers Tab</t>
  </si>
  <si>
    <t>Frequent Flyers</t>
  </si>
  <si>
    <t>QFF Members</t>
  </si>
  <si>
    <t>FY18</t>
  </si>
  <si>
    <t>FY19</t>
  </si>
  <si>
    <t>FY20</t>
  </si>
  <si>
    <t>FY21</t>
  </si>
  <si>
    <t>Revenue</t>
  </si>
  <si>
    <t>Growth</t>
  </si>
  <si>
    <t>Frequent flyer revenue</t>
  </si>
  <si>
    <t>Other revenue</t>
  </si>
  <si>
    <t>Total other revenue and income</t>
  </si>
  <si>
    <t>Eliminations</t>
  </si>
  <si>
    <t>Eliminations as % of total revenue</t>
  </si>
  <si>
    <t>Other revenue as % of total passenger revenue</t>
  </si>
  <si>
    <t>COGS</t>
  </si>
  <si>
    <t>COGS as % of total passenger revenue</t>
  </si>
  <si>
    <t>Salaries &amp; wages</t>
  </si>
  <si>
    <t>Salaries &amp; wages as % of total consolidated sales</t>
  </si>
  <si>
    <t>Other operating expenses</t>
  </si>
  <si>
    <t>Other operating expenses as % of total consolidated sales</t>
  </si>
  <si>
    <t>Historical:</t>
  </si>
  <si>
    <t>Projected:</t>
  </si>
  <si>
    <t>Effective Tax Rate</t>
  </si>
  <si>
    <t>Income Tax (Expense) / Benefit</t>
  </si>
  <si>
    <t>Net Profit Before Tax</t>
  </si>
  <si>
    <t>Company Name:</t>
  </si>
  <si>
    <t>Name</t>
  </si>
  <si>
    <t>Terminal Value - Multiples Method:</t>
  </si>
  <si>
    <t>Terminal Value - Perpetuity Growth Method:</t>
  </si>
  <si>
    <t>Ticker:</t>
  </si>
  <si>
    <t>Valuation Date:</t>
  </si>
  <si>
    <t>Date</t>
  </si>
  <si>
    <t>Current Share Price:</t>
  </si>
  <si>
    <t>$ / Share</t>
  </si>
  <si>
    <t>Diluted Shares Outstanding:</t>
  </si>
  <si>
    <t>M Shares</t>
  </si>
  <si>
    <t>Baseline Terminal EBITDA Multiple:</t>
  </si>
  <si>
    <t>Baseline Terminal FCF Growth Rate:</t>
  </si>
  <si>
    <t>Effective Tax Rate:</t>
  </si>
  <si>
    <t>Baseline Terminal Value:</t>
  </si>
  <si>
    <t>Discount Rate (WACC):</t>
  </si>
  <si>
    <t>Implied Terminal FCF Growth Rate:</t>
  </si>
  <si>
    <t>Implied Terminal EBITDA Multiple:</t>
  </si>
  <si>
    <t>Conversion Units:</t>
  </si>
  <si>
    <t>#</t>
  </si>
  <si>
    <t>(+) PV of Terminal Value:</t>
  </si>
  <si>
    <t>Last Fiscal Year:</t>
  </si>
  <si>
    <t>(+) PV of UFCFs:</t>
  </si>
  <si>
    <t>Implied Enterprise Value:</t>
  </si>
  <si>
    <t>Current Equity Value:</t>
  </si>
  <si>
    <t>(-) Cash &amp; Investments:</t>
  </si>
  <si>
    <t>% of Implied TEV from Terminal Value:</t>
  </si>
  <si>
    <t>(+) Debt &amp; Finance Leases:</t>
  </si>
  <si>
    <t>(+) Cash &amp; Investments:</t>
  </si>
  <si>
    <t>(-) Debt &amp; Finance Leases:</t>
  </si>
  <si>
    <t>Current Enterprise Value:</t>
  </si>
  <si>
    <t>Implied Equity Value:</t>
  </si>
  <si>
    <t>Implied Share Price from DCF:</t>
  </si>
  <si>
    <t>Premium / (Discount) to Current:</t>
  </si>
  <si>
    <t>FY17</t>
  </si>
  <si>
    <t>Qantas Airways Limited</t>
  </si>
  <si>
    <t>QAN</t>
  </si>
  <si>
    <t>Source:</t>
  </si>
  <si>
    <t>FY23 &amp; FY22</t>
  </si>
  <si>
    <t>https://cdn-api.markitdigital.com/apiman-gateway/ASX/asx-research/1.0/file/2924-02714093-2A1475009&amp;v=fc9bdb61fe50ea61f8225e24ce041a0e155a9400</t>
  </si>
  <si>
    <t>FY21 &amp; FY20</t>
  </si>
  <si>
    <t>FY19 &amp; FY18</t>
  </si>
  <si>
    <t>https://cdn-api.markitdigital.com/apiman-gateway/ASX/asx-research/1.0/file/2924-02412248-2A1318494&amp;v=fc9bdb61fe50ea61f8225e24ce041a0e155a9400</t>
  </si>
  <si>
    <t>https://cdn-api.markitdigital.com/apiman-gateway/ASX/asx-research/1.0/file/2924-02136607-2A1167108&amp;v=fc9bdb61fe50ea61f8225e24ce041a0e155a9400</t>
  </si>
  <si>
    <t>Depreciation</t>
  </si>
  <si>
    <t>Plant, Property &amp; Equipment</t>
  </si>
  <si>
    <t>Buildings</t>
  </si>
  <si>
    <t>Leasehold improvements</t>
  </si>
  <si>
    <t>Freehold land</t>
  </si>
  <si>
    <t>Plant and equipment</t>
  </si>
  <si>
    <t>Aircraft and engines</t>
  </si>
  <si>
    <t>Aircraft spare parts</t>
  </si>
  <si>
    <t>Aircraft deposits</t>
  </si>
  <si>
    <t>Total plant, property &amp; equipment</t>
  </si>
  <si>
    <t>Right Of Use Assets</t>
  </si>
  <si>
    <t>Aircraft</t>
  </si>
  <si>
    <t>Property</t>
  </si>
  <si>
    <t>Total right of use assets</t>
  </si>
  <si>
    <t>Intangible Assets</t>
  </si>
  <si>
    <t>Goodwill</t>
  </si>
  <si>
    <t>Airport landing slots</t>
  </si>
  <si>
    <t>Software</t>
  </si>
  <si>
    <t>Brand names and trademarks</t>
  </si>
  <si>
    <t>Customer contracts/relationships</t>
  </si>
  <si>
    <t>Contract intangible assets</t>
  </si>
  <si>
    <t>Total intangible assets</t>
  </si>
  <si>
    <t>Total depreciation</t>
  </si>
  <si>
    <t>(+) Remaining Depreciation &amp; Amorization:</t>
  </si>
  <si>
    <t>(+) Aircraft Related Depreciation &amp; Amorization:</t>
  </si>
  <si>
    <t>% Passenger Revenue</t>
  </si>
  <si>
    <t>Total Depreciation &amp; Amortization</t>
  </si>
  <si>
    <t>(+) Total Depreciation &amp; Amortization</t>
  </si>
  <si>
    <t>Depreciation &amp; amortization</t>
  </si>
  <si>
    <t>Unlevered Free Cash Flow:</t>
  </si>
  <si>
    <t>Growth Rate:</t>
  </si>
  <si>
    <t>EBITDA:</t>
  </si>
  <si>
    <t>(+) Revenue Received In Advance:</t>
  </si>
  <si>
    <t>(-) Revenue Received In Advance:</t>
  </si>
  <si>
    <t>Companies</t>
  </si>
  <si>
    <t>Ticker</t>
  </si>
  <si>
    <t>Stock Exchange</t>
  </si>
  <si>
    <t>EBITDA / EV</t>
  </si>
  <si>
    <t>Air New Zealand Limited</t>
  </si>
  <si>
    <t>AIR</t>
  </si>
  <si>
    <t>NZX</t>
  </si>
  <si>
    <t>Singapore Airlines Limited</t>
  </si>
  <si>
    <t>SGX</t>
  </si>
  <si>
    <t>C6L</t>
  </si>
  <si>
    <t>Cathay Pacific Airways Limited</t>
  </si>
  <si>
    <t>Delta Air Lines, Inc.</t>
  </si>
  <si>
    <t>SEHK</t>
  </si>
  <si>
    <t>0293</t>
  </si>
  <si>
    <t>DAL</t>
  </si>
  <si>
    <t>NYSE</t>
  </si>
  <si>
    <t>United Airlines Holdings, Inc.</t>
  </si>
  <si>
    <t>UAL</t>
  </si>
  <si>
    <t>NASDAQ</t>
  </si>
  <si>
    <t>American Airlines Group Inc.</t>
  </si>
  <si>
    <t>AAL</t>
  </si>
  <si>
    <t>Lufthansa Group</t>
  </si>
  <si>
    <t>LHA</t>
  </si>
  <si>
    <t>XETR</t>
  </si>
  <si>
    <t>EBITDA ($M)</t>
  </si>
  <si>
    <t>EV ($M)</t>
  </si>
  <si>
    <t>Statement Date</t>
  </si>
  <si>
    <t>Mean TEV / EBITDA of Comps:</t>
  </si>
  <si>
    <t>IBIS World Report: I4902 - Domestic Airlines in Australia</t>
  </si>
  <si>
    <t>IBIS World Report: I4901 - International Airlines in Australia</t>
  </si>
  <si>
    <t>Relevant Stock Exchanges</t>
  </si>
  <si>
    <t>Profit &amp; Loss</t>
  </si>
  <si>
    <t>Cash Flow</t>
  </si>
  <si>
    <t>Revenue Drivers</t>
  </si>
  <si>
    <t>D&amp;A</t>
  </si>
  <si>
    <t>Comparables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</si>
</sst>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.0_);_(* \(#,##0.0\);_(* &quot;-&quot;??_);_(@_)"/>
    <numFmt numFmtId="167" formatCode="_(* #,##0_);_(* \(#,##0\);_(* &quot;-&quot;??_);_(@_)"/>
    <numFmt numFmtId="168" formatCode="&quot;FY&quot;yy"/>
    <numFmt numFmtId="169" formatCode="_(* #,##0.0_);_(* \(#,##0.0\);_(* &quot;-&quot;?_);_(@_)"/>
    <numFmt numFmtId="170" formatCode="0.0%"/>
    <numFmt numFmtId="171" formatCode="0.0%;\(0.0%\);0.0%"/>
    <numFmt numFmtId="172" formatCode="yyyy\-mm\-dd"/>
    <numFmt numFmtId="173" formatCode="_(0.0\ \x_);\(0.0\ \x\);_(&quot;–&quot;_);_(@_)"/>
    <numFmt numFmtId="174" formatCode="_(* #,##0.000_);_(* \(#,##0.000\);_(* &quot;-&quot;???_);_(@_)"/>
    <numFmt numFmtId="175" formatCode="_(&quot;$&quot;* #,##0.0_);_(&quot;$&quot;* \(#,##0.0\);_(&quot;$&quot;* &quot;-&quot;?_);_(@_)"/>
    <numFmt numFmtId="176" formatCode="0.0\ \x"/>
    <numFmt numFmtId="177" formatCode="_(#,##0.00%_);\(#,##0.00%\);_(&quot;–&quot;_)_%;_(@_)_%"/>
    <numFmt numFmtId="178" formatCode="_(* #,##0_);_(* \(#,##0\);_(* &quot;-&quot;????_);_(@_)"/>
    <numFmt numFmtId="179" formatCode="_(0.0%_);\(0.0%\);_(&quot;–&quot;_);_(@_)"/>
    <numFmt numFmtId="180" formatCode="_(* #,##0.000_);_(* \(#,##0.000\);_(* &quot;-&quot;?_);_(@_)"/>
  </numFmts>
  <fonts count="23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b/>
      <sz val="12"/>
      <color theme="0"/>
      <name val="Aptos Narrow"/>
      <scheme val="minor"/>
    </font>
    <font>
      <b/>
      <i/>
      <sz val="12"/>
      <color theme="0"/>
      <name val="Aptos Narrow"/>
      <scheme val="minor"/>
    </font>
    <font>
      <i/>
      <sz val="12"/>
      <color theme="1"/>
      <name val="Aptos Narrow"/>
      <scheme val="minor"/>
    </font>
    <font>
      <b/>
      <i/>
      <sz val="12"/>
      <color theme="1"/>
      <name val="Aptos Narrow"/>
      <scheme val="minor"/>
    </font>
    <font>
      <sz val="12"/>
      <color rgb="FF1749C0"/>
      <name val="Aptos Narrow"/>
      <family val="2"/>
      <scheme val="minor"/>
    </font>
    <font>
      <sz val="12"/>
      <color theme="1"/>
      <name val="Aptos Narrow"/>
      <scheme val="minor"/>
    </font>
    <font>
      <sz val="8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2"/>
      <name val="Aptos Narrow"/>
      <family val="2"/>
      <scheme val="minor"/>
    </font>
    <font>
      <i/>
      <sz val="12"/>
      <name val="Aptos Narrow"/>
      <scheme val="minor"/>
    </font>
    <font>
      <sz val="10"/>
      <name val="Arial"/>
      <family val="2"/>
    </font>
    <font>
      <i/>
      <sz val="12"/>
      <name val="Aptos Narrow"/>
      <family val="2"/>
      <scheme val="minor"/>
    </font>
    <font>
      <sz val="12"/>
      <color rgb="FF0000FF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rgb="FF1749C0"/>
      <name val="Aptos Narrow"/>
      <scheme val="minor"/>
    </font>
    <font>
      <i/>
      <sz val="12"/>
      <color theme="0"/>
      <name val="Aptos Narrow"/>
      <family val="2"/>
      <scheme val="minor"/>
    </font>
    <font>
      <b/>
      <sz val="16"/>
      <color theme="0"/>
      <name val="Aptos Narrow"/>
      <scheme val="minor"/>
    </font>
    <font>
      <b/>
      <sz val="16"/>
      <color rgb="FFFFFFFF"/>
      <name val="Aptos Narrow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ED1D2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1696F"/>
        <bgColor indexed="64"/>
      </patternFill>
    </fill>
    <fill>
      <patternFill patternType="solid">
        <fgColor rgb="FFF4969B"/>
        <bgColor indexed="64"/>
      </patternFill>
    </fill>
    <fill>
      <patternFill patternType="solid">
        <fgColor rgb="FFED1D25"/>
        <bgColor rgb="FF000000"/>
      </patternFill>
    </fill>
  </fills>
  <borders count="2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rgb="FFFF0000"/>
      </top>
      <bottom style="thin">
        <color theme="1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/>
      <right/>
      <top style="thin">
        <color rgb="FFB2B2B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ED1D25"/>
      </bottom>
      <diagonal/>
    </border>
    <border>
      <left/>
      <right/>
      <top style="thin">
        <color rgb="FFED1D25"/>
      </top>
      <bottom style="thin">
        <color rgb="FFED1D25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2" fillId="0" borderId="0" applyNumberFormat="0" applyFill="0" applyBorder="0" applyAlignment="0" applyProtection="0"/>
    <xf numFmtId="0" fontId="15" fillId="0" borderId="0"/>
  </cellStyleXfs>
  <cellXfs count="151">
    <xf numFmtId="0" fontId="0" fillId="0" borderId="0" xfId="0"/>
    <xf numFmtId="166" fontId="0" fillId="0" borderId="0" xfId="1" applyNumberFormat="1" applyFont="1"/>
    <xf numFmtId="167" fontId="0" fillId="0" borderId="0" xfId="1" applyNumberFormat="1" applyFont="1"/>
    <xf numFmtId="0" fontId="0" fillId="0" borderId="0" xfId="0" applyAlignment="1">
      <alignment horizontal="center"/>
    </xf>
    <xf numFmtId="0" fontId="4" fillId="0" borderId="0" xfId="0" applyFont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167" fontId="4" fillId="0" borderId="5" xfId="1" applyNumberFormat="1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0" fontId="0" fillId="0" borderId="9" xfId="0" applyBorder="1"/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166" fontId="4" fillId="0" borderId="5" xfId="1" applyNumberFormat="1" applyFont="1" applyBorder="1"/>
    <xf numFmtId="167" fontId="4" fillId="0" borderId="10" xfId="1" applyNumberFormat="1" applyFont="1" applyBorder="1"/>
    <xf numFmtId="0" fontId="0" fillId="3" borderId="0" xfId="0" applyFill="1"/>
    <xf numFmtId="0" fontId="5" fillId="3" borderId="0" xfId="0" applyFont="1" applyFill="1"/>
    <xf numFmtId="0" fontId="5" fillId="3" borderId="0" xfId="0" applyFont="1" applyFill="1" applyAlignment="1">
      <alignment horizontal="right"/>
    </xf>
    <xf numFmtId="0" fontId="0" fillId="0" borderId="0" xfId="0" applyAlignment="1">
      <alignment horizontal="left" indent="1"/>
    </xf>
    <xf numFmtId="0" fontId="6" fillId="3" borderId="0" xfId="0" applyFont="1" applyFill="1" applyAlignment="1">
      <alignment horizontal="center"/>
    </xf>
    <xf numFmtId="168" fontId="5" fillId="3" borderId="0" xfId="0" applyNumberFormat="1" applyFont="1" applyFill="1" applyAlignment="1">
      <alignment horizontal="right"/>
    </xf>
    <xf numFmtId="0" fontId="0" fillId="0" borderId="9" xfId="0" applyBorder="1" applyAlignment="1">
      <alignment horizontal="left" indent="1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166" fontId="0" fillId="0" borderId="9" xfId="1" applyNumberFormat="1" applyFont="1" applyBorder="1"/>
    <xf numFmtId="169" fontId="0" fillId="0" borderId="0" xfId="0" applyNumberFormat="1"/>
    <xf numFmtId="0" fontId="8" fillId="0" borderId="0" xfId="0" applyFont="1" applyAlignment="1">
      <alignment horizontal="center"/>
    </xf>
    <xf numFmtId="166" fontId="4" fillId="0" borderId="0" xfId="1" applyNumberFormat="1" applyFont="1"/>
    <xf numFmtId="166" fontId="9" fillId="0" borderId="0" xfId="1" applyNumberFormat="1" applyFont="1"/>
    <xf numFmtId="0" fontId="7" fillId="0" borderId="0" xfId="0" applyFont="1"/>
    <xf numFmtId="0" fontId="7" fillId="0" borderId="0" xfId="0" applyFont="1" applyAlignment="1">
      <alignment horizontal="left" indent="1"/>
    </xf>
    <xf numFmtId="170" fontId="0" fillId="0" borderId="0" xfId="2" applyNumberFormat="1" applyFont="1"/>
    <xf numFmtId="165" fontId="0" fillId="0" borderId="0" xfId="0" applyNumberFormat="1"/>
    <xf numFmtId="170" fontId="0" fillId="0" borderId="0" xfId="0" applyNumberFormat="1"/>
    <xf numFmtId="0" fontId="5" fillId="3" borderId="0" xfId="0" applyFont="1" applyFill="1" applyAlignment="1">
      <alignment horizontal="centerContinuous"/>
    </xf>
    <xf numFmtId="168" fontId="5" fillId="3" borderId="11" xfId="0" applyNumberFormat="1" applyFont="1" applyFill="1" applyBorder="1"/>
    <xf numFmtId="168" fontId="5" fillId="3" borderId="0" xfId="0" applyNumberFormat="1" applyFont="1" applyFill="1"/>
    <xf numFmtId="166" fontId="4" fillId="0" borderId="8" xfId="1" applyNumberFormat="1" applyFont="1" applyBorder="1"/>
    <xf numFmtId="170" fontId="7" fillId="0" borderId="0" xfId="2" applyNumberFormat="1" applyFont="1"/>
    <xf numFmtId="170" fontId="13" fillId="4" borderId="1" xfId="0" applyNumberFormat="1" applyFont="1" applyFill="1" applyBorder="1"/>
    <xf numFmtId="171" fontId="1" fillId="0" borderId="0" xfId="2" applyNumberFormat="1" applyFont="1"/>
    <xf numFmtId="166" fontId="0" fillId="0" borderId="0" xfId="0" applyNumberFormat="1"/>
    <xf numFmtId="171" fontId="14" fillId="4" borderId="1" xfId="0" applyNumberFormat="1" applyFont="1" applyFill="1" applyBorder="1"/>
    <xf numFmtId="171" fontId="7" fillId="0" borderId="0" xfId="2" applyNumberFormat="1" applyFont="1"/>
    <xf numFmtId="170" fontId="14" fillId="4" borderId="1" xfId="0" applyNumberFormat="1" applyFont="1" applyFill="1" applyBorder="1"/>
    <xf numFmtId="0" fontId="0" fillId="3" borderId="13" xfId="0" applyFill="1" applyBorder="1" applyAlignment="1">
      <alignment horizontal="centerContinuous"/>
    </xf>
    <xf numFmtId="0" fontId="5" fillId="3" borderId="14" xfId="0" applyFont="1" applyFill="1" applyBorder="1" applyAlignment="1">
      <alignment horizontal="centerContinuous"/>
    </xf>
    <xf numFmtId="0" fontId="5" fillId="3" borderId="13" xfId="0" applyFont="1" applyFill="1" applyBorder="1" applyAlignment="1">
      <alignment horizontal="centerContinuous"/>
    </xf>
    <xf numFmtId="166" fontId="9" fillId="0" borderId="0" xfId="1" applyNumberFormat="1" applyFont="1" applyBorder="1"/>
    <xf numFmtId="0" fontId="13" fillId="0" borderId="0" xfId="5" applyFont="1"/>
    <xf numFmtId="0" fontId="1" fillId="0" borderId="0" xfId="0" applyFont="1"/>
    <xf numFmtId="0" fontId="16" fillId="0" borderId="0" xfId="5" applyFont="1" applyAlignment="1">
      <alignment horizontal="center"/>
    </xf>
    <xf numFmtId="0" fontId="17" fillId="4" borderId="15" xfId="3" applyFont="1" applyFill="1" applyBorder="1" applyAlignment="1">
      <alignment horizontal="centerContinuous"/>
    </xf>
    <xf numFmtId="0" fontId="17" fillId="4" borderId="16" xfId="3" applyFont="1" applyFill="1" applyBorder="1" applyAlignment="1">
      <alignment horizontal="centerContinuous"/>
    </xf>
    <xf numFmtId="0" fontId="3" fillId="5" borderId="2" xfId="0" applyFont="1" applyFill="1" applyBorder="1"/>
    <xf numFmtId="0" fontId="1" fillId="5" borderId="2" xfId="0" applyFont="1" applyFill="1" applyBorder="1"/>
    <xf numFmtId="0" fontId="17" fillId="4" borderId="1" xfId="3" applyFont="1" applyFill="1" applyAlignment="1">
      <alignment horizontal="centerContinuous"/>
    </xf>
    <xf numFmtId="172" fontId="17" fillId="4" borderId="1" xfId="0" applyNumberFormat="1" applyFont="1" applyFill="1" applyBorder="1" applyAlignment="1">
      <alignment horizontal="center"/>
    </xf>
    <xf numFmtId="171" fontId="17" fillId="4" borderId="1" xfId="3" applyNumberFormat="1" applyFont="1" applyFill="1" applyAlignment="1">
      <alignment horizontal="center"/>
    </xf>
    <xf numFmtId="164" fontId="17" fillId="4" borderId="17" xfId="0" applyNumberFormat="1" applyFont="1" applyFill="1" applyBorder="1"/>
    <xf numFmtId="174" fontId="17" fillId="4" borderId="18" xfId="0" applyNumberFormat="1" applyFont="1" applyFill="1" applyBorder="1"/>
    <xf numFmtId="175" fontId="18" fillId="0" borderId="0" xfId="5" applyNumberFormat="1" applyFont="1"/>
    <xf numFmtId="176" fontId="17" fillId="4" borderId="19" xfId="5" applyNumberFormat="1" applyFont="1" applyFill="1" applyBorder="1" applyAlignment="1">
      <alignment horizontal="center"/>
    </xf>
    <xf numFmtId="171" fontId="13" fillId="4" borderId="20" xfId="3" applyNumberFormat="1" applyFont="1" applyFill="1" applyBorder="1" applyAlignment="1">
      <alignment horizontal="center"/>
    </xf>
    <xf numFmtId="175" fontId="1" fillId="0" borderId="0" xfId="0" applyNumberFormat="1" applyFont="1"/>
    <xf numFmtId="175" fontId="13" fillId="0" borderId="0" xfId="5" applyNumberFormat="1" applyFont="1"/>
    <xf numFmtId="171" fontId="13" fillId="0" borderId="0" xfId="5" applyNumberFormat="1" applyFont="1"/>
    <xf numFmtId="176" fontId="13" fillId="0" borderId="0" xfId="5" applyNumberFormat="1" applyFont="1"/>
    <xf numFmtId="178" fontId="17" fillId="4" borderId="18" xfId="0" applyNumberFormat="1" applyFont="1" applyFill="1" applyBorder="1" applyAlignment="1">
      <alignment horizontal="center"/>
    </xf>
    <xf numFmtId="0" fontId="13" fillId="0" borderId="0" xfId="5" applyFont="1" applyAlignment="1">
      <alignment horizontal="left" indent="1"/>
    </xf>
    <xf numFmtId="169" fontId="1" fillId="0" borderId="0" xfId="0" applyNumberFormat="1" applyFont="1"/>
    <xf numFmtId="0" fontId="18" fillId="5" borderId="4" xfId="5" applyFont="1" applyFill="1" applyBorder="1" applyAlignment="1">
      <alignment horizontal="left"/>
    </xf>
    <xf numFmtId="0" fontId="13" fillId="5" borderId="4" xfId="5" applyFont="1" applyFill="1" applyBorder="1"/>
    <xf numFmtId="169" fontId="3" fillId="5" borderId="4" xfId="0" applyNumberFormat="1" applyFont="1" applyFill="1" applyBorder="1"/>
    <xf numFmtId="0" fontId="18" fillId="5" borderId="2" xfId="5" applyFont="1" applyFill="1" applyBorder="1"/>
    <xf numFmtId="0" fontId="13" fillId="5" borderId="2" xfId="5" applyFont="1" applyFill="1" applyBorder="1"/>
    <xf numFmtId="0" fontId="16" fillId="5" borderId="2" xfId="5" applyFont="1" applyFill="1" applyBorder="1" applyAlignment="1">
      <alignment horizontal="center"/>
    </xf>
    <xf numFmtId="175" fontId="18" fillId="5" borderId="2" xfId="5" applyNumberFormat="1" applyFont="1" applyFill="1" applyBorder="1"/>
    <xf numFmtId="169" fontId="17" fillId="4" borderId="22" xfId="0" applyNumberFormat="1" applyFont="1" applyFill="1" applyBorder="1" applyAlignment="1">
      <alignment horizontal="center"/>
    </xf>
    <xf numFmtId="0" fontId="16" fillId="0" borderId="0" xfId="5" applyFont="1" applyAlignment="1">
      <alignment horizontal="left"/>
    </xf>
    <xf numFmtId="179" fontId="16" fillId="0" borderId="0" xfId="5" applyNumberFormat="1" applyFont="1"/>
    <xf numFmtId="0" fontId="18" fillId="5" borderId="4" xfId="5" applyFont="1" applyFill="1" applyBorder="1"/>
    <xf numFmtId="0" fontId="16" fillId="5" borderId="4" xfId="5" applyFont="1" applyFill="1" applyBorder="1" applyAlignment="1">
      <alignment horizontal="center"/>
    </xf>
    <xf numFmtId="175" fontId="18" fillId="5" borderId="4" xfId="5" applyNumberFormat="1" applyFont="1" applyFill="1" applyBorder="1"/>
    <xf numFmtId="180" fontId="1" fillId="0" borderId="0" xfId="0" applyNumberFormat="1" applyFont="1"/>
    <xf numFmtId="166" fontId="0" fillId="0" borderId="0" xfId="1" applyNumberFormat="1" applyFont="1" applyFill="1"/>
    <xf numFmtId="0" fontId="4" fillId="0" borderId="0" xfId="0" applyFont="1" applyFill="1" applyBorder="1"/>
    <xf numFmtId="0" fontId="12" fillId="0" borderId="0" xfId="4" applyFill="1" applyBorder="1"/>
    <xf numFmtId="0" fontId="12" fillId="0" borderId="0" xfId="4"/>
    <xf numFmtId="0" fontId="10" fillId="0" borderId="0" xfId="0" applyFont="1" applyFill="1" applyBorder="1"/>
    <xf numFmtId="0" fontId="4" fillId="0" borderId="27" xfId="0" applyFont="1" applyBorder="1"/>
    <xf numFmtId="0" fontId="4" fillId="0" borderId="27" xfId="0" applyFont="1" applyBorder="1" applyAlignment="1">
      <alignment horizontal="right"/>
    </xf>
    <xf numFmtId="0" fontId="4" fillId="0" borderId="12" xfId="0" applyFont="1" applyBorder="1"/>
    <xf numFmtId="166" fontId="4" fillId="0" borderId="12" xfId="1" applyNumberFormat="1" applyFont="1" applyBorder="1"/>
    <xf numFmtId="0" fontId="4" fillId="0" borderId="28" xfId="0" applyFont="1" applyBorder="1"/>
    <xf numFmtId="166" fontId="4" fillId="0" borderId="28" xfId="1" applyNumberFormat="1" applyFont="1" applyBorder="1"/>
    <xf numFmtId="166" fontId="19" fillId="0" borderId="28" xfId="1" applyNumberFormat="1" applyFont="1" applyBorder="1"/>
    <xf numFmtId="166" fontId="19" fillId="0" borderId="12" xfId="1" applyNumberFormat="1" applyFont="1" applyBorder="1"/>
    <xf numFmtId="166" fontId="19" fillId="0" borderId="8" xfId="1" applyNumberFormat="1" applyFont="1" applyBorder="1"/>
    <xf numFmtId="167" fontId="9" fillId="0" borderId="0" xfId="1" applyNumberFormat="1" applyFont="1"/>
    <xf numFmtId="166" fontId="4" fillId="0" borderId="9" xfId="1" applyNumberFormat="1" applyFont="1" applyBorder="1"/>
    <xf numFmtId="166" fontId="4" fillId="0" borderId="3" xfId="1" applyNumberFormat="1" applyFont="1" applyBorder="1"/>
    <xf numFmtId="166" fontId="4" fillId="0" borderId="4" xfId="1" applyNumberFormat="1" applyFont="1" applyBorder="1"/>
    <xf numFmtId="166" fontId="9" fillId="0" borderId="4" xfId="1" applyNumberFormat="1" applyFont="1" applyBorder="1"/>
    <xf numFmtId="166" fontId="19" fillId="0" borderId="6" xfId="1" applyNumberFormat="1" applyFont="1" applyBorder="1"/>
    <xf numFmtId="166" fontId="19" fillId="0" borderId="7" xfId="1" applyNumberFormat="1" applyFont="1" applyBorder="1"/>
    <xf numFmtId="166" fontId="10" fillId="4" borderId="1" xfId="1" applyNumberFormat="1" applyFont="1" applyFill="1" applyBorder="1"/>
    <xf numFmtId="0" fontId="0" fillId="0" borderId="0" xfId="0" applyAlignment="1">
      <alignment horizontal="left"/>
    </xf>
    <xf numFmtId="0" fontId="16" fillId="0" borderId="0" xfId="5" applyFont="1" applyAlignment="1">
      <alignment horizontal="left" indent="1"/>
    </xf>
    <xf numFmtId="166" fontId="4" fillId="0" borderId="0" xfId="0" applyNumberFormat="1" applyFont="1"/>
    <xf numFmtId="0" fontId="5" fillId="3" borderId="0" xfId="0" applyFont="1" applyFill="1" applyBorder="1"/>
    <xf numFmtId="0" fontId="5" fillId="3" borderId="0" xfId="0" applyFont="1" applyFill="1" applyBorder="1" applyAlignment="1">
      <alignment horizontal="right"/>
    </xf>
    <xf numFmtId="0" fontId="4" fillId="0" borderId="12" xfId="0" applyFont="1" applyFill="1" applyBorder="1"/>
    <xf numFmtId="166" fontId="4" fillId="0" borderId="12" xfId="1" applyNumberFormat="1" applyFont="1" applyFill="1" applyBorder="1"/>
    <xf numFmtId="0" fontId="4" fillId="0" borderId="28" xfId="0" applyFont="1" applyFill="1" applyBorder="1"/>
    <xf numFmtId="0" fontId="0" fillId="0" borderId="28" xfId="0" applyBorder="1"/>
    <xf numFmtId="171" fontId="1" fillId="0" borderId="28" xfId="2" applyNumberFormat="1" applyFont="1" applyBorder="1"/>
    <xf numFmtId="0" fontId="18" fillId="7" borderId="0" xfId="5" applyFont="1" applyFill="1"/>
    <xf numFmtId="0" fontId="16" fillId="7" borderId="0" xfId="5" applyFont="1" applyFill="1" applyAlignment="1">
      <alignment horizontal="center"/>
    </xf>
    <xf numFmtId="175" fontId="18" fillId="7" borderId="0" xfId="5" applyNumberFormat="1" applyFont="1" applyFill="1"/>
    <xf numFmtId="0" fontId="18" fillId="7" borderId="23" xfId="5" applyFont="1" applyFill="1" applyBorder="1" applyAlignment="1">
      <alignment horizontal="left"/>
    </xf>
    <xf numFmtId="0" fontId="18" fillId="7" borderId="4" xfId="5" applyFont="1" applyFill="1" applyBorder="1"/>
    <xf numFmtId="164" fontId="18" fillId="7" borderId="24" xfId="5" applyNumberFormat="1" applyFont="1" applyFill="1" applyBorder="1"/>
    <xf numFmtId="0" fontId="18" fillId="7" borderId="25" xfId="5" applyFont="1" applyFill="1" applyBorder="1" applyAlignment="1">
      <alignment horizontal="left"/>
    </xf>
    <xf numFmtId="0" fontId="18" fillId="7" borderId="2" xfId="5" applyFont="1" applyFill="1" applyBorder="1"/>
    <xf numFmtId="179" fontId="18" fillId="7" borderId="26" xfId="5" applyNumberFormat="1" applyFont="1" applyFill="1" applyBorder="1"/>
    <xf numFmtId="0" fontId="2" fillId="6" borderId="0" xfId="5" applyFont="1" applyFill="1"/>
    <xf numFmtId="0" fontId="20" fillId="6" borderId="0" xfId="5" applyFont="1" applyFill="1" applyAlignment="1">
      <alignment horizontal="center"/>
    </xf>
    <xf numFmtId="169" fontId="2" fillId="6" borderId="0" xfId="5" applyNumberFormat="1" applyFont="1" applyFill="1"/>
    <xf numFmtId="166" fontId="4" fillId="0" borderId="28" xfId="1" applyNumberFormat="1" applyFont="1" applyFill="1" applyBorder="1"/>
    <xf numFmtId="0" fontId="0" fillId="0" borderId="0" xfId="0" quotePrefix="1"/>
    <xf numFmtId="14" fontId="0" fillId="0" borderId="0" xfId="0" applyNumberFormat="1"/>
    <xf numFmtId="0" fontId="21" fillId="3" borderId="0" xfId="0" applyFont="1" applyFill="1"/>
    <xf numFmtId="0" fontId="22" fillId="8" borderId="0" xfId="0" applyFont="1" applyFill="1"/>
    <xf numFmtId="177" fontId="0" fillId="0" borderId="21" xfId="0" applyNumberFormat="1" applyFont="1" applyBorder="1"/>
    <xf numFmtId="173" fontId="0" fillId="0" borderId="0" xfId="0" applyNumberFormat="1" applyFont="1" applyAlignment="1">
      <alignment horizontal="center"/>
    </xf>
  </cellXfs>
  <cellStyles count="6">
    <cellStyle name="Comma" xfId="1" builtinId="3"/>
    <cellStyle name="Hyperlink" xfId="4" builtinId="8"/>
    <cellStyle name="Normal" xfId="0" builtinId="0"/>
    <cellStyle name="Normal 2" xfId="5" xr:uid="{E68C33A1-B377-EB40-B932-4D9716E0E1A6}"/>
    <cellStyle name="Note" xfId="3" builtinId="10"/>
    <cellStyle name="Per cent" xfId="2" builtinId="5"/>
  </cellStyles>
  <dxfs count="0"/>
  <tableStyles count="0" defaultTableStyle="TableStyleMedium2" defaultPivotStyle="PivotStyleLight16"/>
  <colors>
    <mruColors>
      <color rgb="FFED1D25"/>
      <color rgb="FF1749C0"/>
      <color rgb="FFF4969B"/>
      <color rgb="FFF169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0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88901</xdr:rowOff>
    </xdr:from>
    <xdr:to>
      <xdr:col>2</xdr:col>
      <xdr:colOff>20150</xdr:colOff>
      <xdr:row>3</xdr:row>
      <xdr:rowOff>88901</xdr:rowOff>
    </xdr:to>
    <xdr:pic>
      <xdr:nvPicPr>
        <xdr:cNvPr id="6" name="Picture 5" descr="Qantas Logo and symbol, meaning, history, PNG, brand">
          <a:extLst>
            <a:ext uri="{FF2B5EF4-FFF2-40B4-BE49-F238E27FC236}">
              <a16:creationId xmlns:a16="http://schemas.microsoft.com/office/drawing/2014/main" id="{CAF22385-7396-8B63-8F08-A6B5FA2B1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88901"/>
          <a:ext cx="9980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cdn-api.markitdigital.com/apiman-gateway/ASX/asx-research/1.0/file/2924-02136607-2A1167108&amp;v=fc9bdb61fe50ea61f8225e24ce041a0e155a9400" TargetMode="External" /><Relationship Id="rId2" Type="http://schemas.openxmlformats.org/officeDocument/2006/relationships/hyperlink" Target="https://cdn-api.markitdigital.com/apiman-gateway/ASX/asx-research/1.0/file/2924-02412248-2A1318494&amp;v=fc9bdb61fe50ea61f8225e24ce041a0e155a9400" TargetMode="External" /><Relationship Id="rId1" Type="http://schemas.openxmlformats.org/officeDocument/2006/relationships/hyperlink" Target="https://cdn-api.markitdigital.com/apiman-gateway/ASX/asx-research/1.0/file/2924-02714093-2A1475009&amp;v=fc9bdb61fe50ea61f8225e24ce041a0e155a9400" TargetMode="External" 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cdn-api.markitdigital.com/apiman-gateway/ASX/asx-research/1.0/file/2924-02136607-2A1167108&amp;v=fc9bdb61fe50ea61f8225e24ce041a0e155a9400" TargetMode="External" /><Relationship Id="rId2" Type="http://schemas.openxmlformats.org/officeDocument/2006/relationships/hyperlink" Target="https://cdn-api.markitdigital.com/apiman-gateway/ASX/asx-research/1.0/file/2924-02412248-2A1318494&amp;v=fc9bdb61fe50ea61f8225e24ce041a0e155a9400" TargetMode="External" /><Relationship Id="rId1" Type="http://schemas.openxmlformats.org/officeDocument/2006/relationships/hyperlink" Target="https://cdn-api.markitdigital.com/apiman-gateway/ASX/asx-research/1.0/file/2924-02714093-2A1475009&amp;v=fc9bdb61fe50ea61f8225e24ce041a0e155a9400" TargetMode="External" 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cdn-api.markitdigital.com/apiman-gateway/ASX/asx-research/1.0/file/2924-02136607-2A1167108&amp;v=fc9bdb61fe50ea61f8225e24ce041a0e155a9400" TargetMode="External" /><Relationship Id="rId2" Type="http://schemas.openxmlformats.org/officeDocument/2006/relationships/hyperlink" Target="https://cdn-api.markitdigital.com/apiman-gateway/ASX/asx-research/1.0/file/2924-02412248-2A1318494&amp;v=fc9bdb61fe50ea61f8225e24ce041a0e155a9400" TargetMode="External" /><Relationship Id="rId1" Type="http://schemas.openxmlformats.org/officeDocument/2006/relationships/hyperlink" Target="https://cdn-api.markitdigital.com/apiman-gateway/ASX/asx-research/1.0/file/2924-02714093-2A1475009&amp;v=fc9bdb61fe50ea61f8225e24ce041a0e155a9400" TargetMode="External" 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cdn-api.markitdigital.com/apiman-gateway/ASX/asx-research/1.0/file/2924-02136607-2A1167108&amp;v=fc9bdb61fe50ea61f8225e24ce041a0e155a9400" TargetMode="External" /><Relationship Id="rId2" Type="http://schemas.openxmlformats.org/officeDocument/2006/relationships/hyperlink" Target="https://cdn-api.markitdigital.com/apiman-gateway/ASX/asx-research/1.0/file/2924-02412248-2A1318494&amp;v=fc9bdb61fe50ea61f8225e24ce041a0e155a9400" TargetMode="External" /><Relationship Id="rId1" Type="http://schemas.openxmlformats.org/officeDocument/2006/relationships/hyperlink" Target="https://cdn-api.markitdigital.com/apiman-gateway/ASX/asx-research/1.0/file/2924-02714093-2A1475009&amp;v=fc9bdb61fe50ea61f8225e24ce041a0e155a9400" TargetMode="External" 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cdn-api.markitdigital.com/apiman-gateway/ASX/asx-research/1.0/file/2924-02136607-2A1167108&amp;v=fc9bdb61fe50ea61f8225e24ce041a0e155a9400" TargetMode="External" /><Relationship Id="rId2" Type="http://schemas.openxmlformats.org/officeDocument/2006/relationships/hyperlink" Target="https://cdn-api.markitdigital.com/apiman-gateway/ASX/asx-research/1.0/file/2924-02412248-2A1318494&amp;v=fc9bdb61fe50ea61f8225e24ce041a0e155a9400" TargetMode="External" /><Relationship Id="rId1" Type="http://schemas.openxmlformats.org/officeDocument/2006/relationships/hyperlink" Target="https://cdn-api.markitdigital.com/apiman-gateway/ASX/asx-research/1.0/file/2924-02714093-2A1475009&amp;v=fc9bdb61fe50ea61f8225e24ce041a0e155a940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7B33-F6AB-1747-BDCB-AEF3B7920BE9}">
  <dimension ref="A2:AA122"/>
  <sheetViews>
    <sheetView showGridLines="0" tabSelected="1" topLeftCell="I1" zoomScale="90" zoomScaleNormal="90" workbookViewId="0">
      <selection activeCell="N26" sqref="N26"/>
    </sheetView>
  </sheetViews>
  <sheetFormatPr defaultColWidth="10.8515625" defaultRowHeight="16.5" x14ac:dyDescent="0.25"/>
  <cols>
    <col min="2" max="2" width="2.7109375" customWidth="1"/>
    <col min="12" max="12" width="10.97265625" bestFit="1" customWidth="1"/>
    <col min="13" max="19" width="11.46484375" bestFit="1" customWidth="1"/>
  </cols>
  <sheetData>
    <row r="2" spans="2:19" x14ac:dyDescent="0.25">
      <c r="C2" s="4" t="s">
        <v>66</v>
      </c>
    </row>
    <row r="3" spans="2:19" x14ac:dyDescent="0.25">
      <c r="C3" t="s">
        <v>60</v>
      </c>
    </row>
    <row r="5" spans="2:19" x14ac:dyDescent="0.2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</row>
    <row r="6" spans="2:19" x14ac:dyDescent="0.25">
      <c r="B6" s="31" t="s">
        <v>61</v>
      </c>
      <c r="C6" s="31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</row>
    <row r="8" spans="2:19" x14ac:dyDescent="0.25">
      <c r="C8" s="65" t="s">
        <v>135</v>
      </c>
      <c r="D8" s="65"/>
      <c r="E8" s="64"/>
      <c r="F8" s="66" t="s">
        <v>136</v>
      </c>
      <c r="G8" s="67" t="s">
        <v>170</v>
      </c>
      <c r="H8" s="68"/>
      <c r="I8" s="64"/>
      <c r="J8" s="69" t="s">
        <v>137</v>
      </c>
      <c r="K8" s="70"/>
      <c r="L8" s="70"/>
      <c r="M8" s="70"/>
      <c r="N8" s="64"/>
      <c r="O8" s="69" t="s">
        <v>138</v>
      </c>
      <c r="P8" s="70"/>
      <c r="Q8" s="70"/>
      <c r="R8" s="70"/>
    </row>
    <row r="9" spans="2:19" x14ac:dyDescent="0.25">
      <c r="C9" s="65" t="s">
        <v>139</v>
      </c>
      <c r="D9" s="64"/>
      <c r="E9" s="64"/>
      <c r="F9" s="66" t="s">
        <v>136</v>
      </c>
      <c r="G9" s="71" t="s">
        <v>171</v>
      </c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2:19" x14ac:dyDescent="0.25">
      <c r="C10" s="64" t="s">
        <v>140</v>
      </c>
      <c r="D10" s="64"/>
      <c r="E10" s="64"/>
      <c r="F10" s="66" t="s">
        <v>141</v>
      </c>
      <c r="G10" s="72">
        <v>45530</v>
      </c>
      <c r="H10" s="64"/>
      <c r="I10" s="64"/>
      <c r="J10" s="64" t="s">
        <v>240</v>
      </c>
      <c r="K10" s="64"/>
      <c r="L10" s="64"/>
      <c r="M10" s="150">
        <f>AVERAGE('8. Comparables'!H4:H10)</f>
        <v>3.2829813841769977</v>
      </c>
      <c r="N10" s="64"/>
      <c r="O10" s="64" t="s">
        <v>147</v>
      </c>
      <c r="P10" s="64"/>
      <c r="Q10" s="76"/>
      <c r="R10" s="73">
        <v>0.04</v>
      </c>
    </row>
    <row r="11" spans="2:19" x14ac:dyDescent="0.25">
      <c r="C11" s="65" t="s">
        <v>142</v>
      </c>
      <c r="D11" s="64"/>
      <c r="E11" s="64"/>
      <c r="F11" s="66" t="s">
        <v>143</v>
      </c>
      <c r="G11" s="74">
        <v>6.4</v>
      </c>
      <c r="H11" s="64"/>
      <c r="I11" s="64"/>
      <c r="J11" s="64" t="s">
        <v>146</v>
      </c>
      <c r="K11" s="64"/>
      <c r="L11" s="76"/>
      <c r="M11" s="77">
        <v>4</v>
      </c>
      <c r="N11" s="64"/>
      <c r="O11" s="64" t="s">
        <v>149</v>
      </c>
      <c r="P11" s="64"/>
      <c r="Q11" s="64"/>
      <c r="R11" s="80">
        <f>S102*(1+R10)/(Discount_Rate-R10)</f>
        <v>41758.748030648727</v>
      </c>
    </row>
    <row r="12" spans="2:19" x14ac:dyDescent="0.25">
      <c r="C12" s="64" t="s">
        <v>144</v>
      </c>
      <c r="D12" s="64"/>
      <c r="E12" s="64"/>
      <c r="F12" s="66" t="s">
        <v>145</v>
      </c>
      <c r="G12" s="75">
        <f>1629460976/1000000</f>
        <v>1629.4609760000001</v>
      </c>
      <c r="H12" s="64"/>
      <c r="I12" s="64"/>
      <c r="J12" s="64" t="s">
        <v>149</v>
      </c>
      <c r="K12" s="64"/>
      <c r="L12" s="64"/>
      <c r="M12" s="79">
        <f>M11*S105</f>
        <v>25431.906450288556</v>
      </c>
      <c r="N12" s="64"/>
      <c r="O12" s="64" t="s">
        <v>152</v>
      </c>
      <c r="P12" s="64"/>
      <c r="Q12" s="64"/>
      <c r="R12" s="82">
        <f>R11/S105</f>
        <v>6.5679304242918715</v>
      </c>
    </row>
    <row r="13" spans="2:19" x14ac:dyDescent="0.25">
      <c r="C13" s="64"/>
      <c r="D13" s="64"/>
      <c r="E13" s="64"/>
      <c r="F13" s="64"/>
      <c r="G13" s="64"/>
      <c r="H13" s="64"/>
      <c r="I13" s="64"/>
      <c r="J13" s="64" t="s">
        <v>151</v>
      </c>
      <c r="K13" s="64"/>
      <c r="L13" s="76"/>
      <c r="M13" s="81">
        <f>(M12*Discount_Rate-S102)/(M12+S102)</f>
        <v>-5.5991465280777171E-3</v>
      </c>
      <c r="N13" s="64"/>
      <c r="O13" s="64"/>
      <c r="P13" s="64"/>
      <c r="Q13" s="64"/>
      <c r="R13" s="64"/>
    </row>
    <row r="14" spans="2:19" x14ac:dyDescent="0.25">
      <c r="C14" s="64" t="s">
        <v>148</v>
      </c>
      <c r="D14" s="64"/>
      <c r="E14" s="64"/>
      <c r="F14" s="66" t="s">
        <v>88</v>
      </c>
      <c r="G14" s="78">
        <f>AVERAGE('6. Effective Tax Rate'!D6,'6. Effective Tax Rate'!E6,'6. Effective Tax Rate'!I6)</f>
        <v>-0.29508963299511076</v>
      </c>
      <c r="H14" s="64"/>
      <c r="I14" s="64"/>
      <c r="J14" s="64"/>
      <c r="K14" s="64"/>
      <c r="L14" s="64"/>
      <c r="M14" s="64"/>
      <c r="N14" s="64"/>
      <c r="O14" s="84" t="s">
        <v>155</v>
      </c>
      <c r="P14" s="64"/>
      <c r="Q14" s="64"/>
      <c r="R14" s="85">
        <f>R11/((1+Discount_Rate)^10)</f>
        <v>13445.199259403324</v>
      </c>
    </row>
    <row r="15" spans="2:19" x14ac:dyDescent="0.25">
      <c r="C15" s="64" t="s">
        <v>150</v>
      </c>
      <c r="D15" s="64"/>
      <c r="E15" s="64"/>
      <c r="F15" s="66" t="s">
        <v>88</v>
      </c>
      <c r="G15" s="149">
        <v>0.12</v>
      </c>
      <c r="H15" s="64"/>
      <c r="I15" s="64"/>
      <c r="J15" s="84" t="s">
        <v>155</v>
      </c>
      <c r="K15" s="64"/>
      <c r="L15" s="64"/>
      <c r="M15" s="85">
        <f>M12/((1+Discount_Rate)^6)</f>
        <v>12884.595278586425</v>
      </c>
      <c r="N15" s="64"/>
      <c r="O15" s="84" t="s">
        <v>157</v>
      </c>
      <c r="P15" s="64"/>
      <c r="Q15" s="64"/>
      <c r="R15" s="85">
        <f>NPV(Discount_Rate,N102:S102)</f>
        <v>11200.62463993577</v>
      </c>
    </row>
    <row r="16" spans="2:19" x14ac:dyDescent="0.25">
      <c r="C16" s="64"/>
      <c r="D16" s="64"/>
      <c r="E16" s="64"/>
      <c r="F16" s="64"/>
      <c r="G16" s="64"/>
      <c r="H16" s="64"/>
      <c r="I16" s="64"/>
      <c r="J16" s="84" t="s">
        <v>157</v>
      </c>
      <c r="K16" s="64"/>
      <c r="L16" s="64"/>
      <c r="M16" s="85">
        <f>NPV(Discount_Rate,N102:S102)</f>
        <v>11200.62463993577</v>
      </c>
      <c r="N16" s="64"/>
      <c r="O16" s="86" t="s">
        <v>158</v>
      </c>
      <c r="P16" s="87"/>
      <c r="Q16" s="87"/>
      <c r="R16" s="88">
        <f>SUM(R14:R15)</f>
        <v>24645.823899339091</v>
      </c>
    </row>
    <row r="17" spans="3:18" x14ac:dyDescent="0.25">
      <c r="C17" s="64" t="s">
        <v>153</v>
      </c>
      <c r="D17" s="64"/>
      <c r="E17" s="64"/>
      <c r="F17" s="66" t="s">
        <v>154</v>
      </c>
      <c r="G17" s="83">
        <v>1000</v>
      </c>
      <c r="H17" s="64"/>
      <c r="I17" s="64"/>
      <c r="J17" s="86" t="s">
        <v>158</v>
      </c>
      <c r="K17" s="87"/>
      <c r="L17" s="87"/>
      <c r="M17" s="88">
        <f>SUM(M15:M16)</f>
        <v>24085.219918522194</v>
      </c>
      <c r="N17" s="64"/>
      <c r="O17" s="84"/>
      <c r="P17" s="64"/>
      <c r="Q17" s="64"/>
      <c r="R17" s="85"/>
    </row>
    <row r="18" spans="3:18" x14ac:dyDescent="0.25">
      <c r="C18" s="65" t="s">
        <v>156</v>
      </c>
      <c r="D18" s="64"/>
      <c r="E18" s="64"/>
      <c r="F18" s="66" t="s">
        <v>141</v>
      </c>
      <c r="G18" s="72">
        <v>45107</v>
      </c>
      <c r="H18" s="64"/>
      <c r="I18" s="64"/>
      <c r="J18" s="84"/>
      <c r="K18" s="64"/>
      <c r="L18" s="64"/>
      <c r="M18" s="85"/>
      <c r="N18" s="64"/>
      <c r="O18" s="94" t="s">
        <v>161</v>
      </c>
      <c r="P18" s="64"/>
      <c r="Q18" s="64"/>
      <c r="R18" s="95">
        <f>R14/R16</f>
        <v>0.54553661157028199</v>
      </c>
    </row>
    <row r="19" spans="3:18" x14ac:dyDescent="0.25">
      <c r="C19" s="64"/>
      <c r="D19" s="64"/>
      <c r="E19" s="64"/>
      <c r="F19" s="64"/>
      <c r="G19" s="64"/>
      <c r="H19" s="64"/>
      <c r="I19" s="64"/>
      <c r="J19" s="94" t="s">
        <v>161</v>
      </c>
      <c r="K19" s="64"/>
      <c r="L19" s="64"/>
      <c r="M19" s="95">
        <f>M15/M17</f>
        <v>0.53495858963188536</v>
      </c>
      <c r="N19" s="64"/>
      <c r="O19" s="84"/>
      <c r="P19" s="64"/>
      <c r="Q19" s="64"/>
      <c r="R19" s="85"/>
    </row>
    <row r="20" spans="3:18" x14ac:dyDescent="0.25">
      <c r="C20" s="89" t="s">
        <v>159</v>
      </c>
      <c r="D20" s="90"/>
      <c r="E20" s="90"/>
      <c r="F20" s="91" t="s">
        <v>69</v>
      </c>
      <c r="G20" s="92">
        <f>Share_Price*Diluted_Shares</f>
        <v>10428.550246400002</v>
      </c>
      <c r="H20" s="64"/>
      <c r="I20" s="64"/>
      <c r="J20" s="84"/>
      <c r="K20" s="64"/>
      <c r="L20" s="64"/>
      <c r="M20" s="85"/>
      <c r="N20" s="64"/>
      <c r="O20" s="84" t="s">
        <v>163</v>
      </c>
      <c r="P20" s="64"/>
      <c r="Q20" s="64"/>
      <c r="R20" s="85">
        <f>M21</f>
        <v>1694</v>
      </c>
    </row>
    <row r="21" spans="3:18" x14ac:dyDescent="0.25">
      <c r="C21" s="84" t="s">
        <v>160</v>
      </c>
      <c r="D21" s="64"/>
      <c r="E21" s="64"/>
      <c r="F21" s="66" t="s">
        <v>69</v>
      </c>
      <c r="G21" s="93">
        <v>-1694</v>
      </c>
      <c r="H21" s="64"/>
      <c r="I21" s="64"/>
      <c r="J21" s="84" t="s">
        <v>163</v>
      </c>
      <c r="K21" s="64"/>
      <c r="L21" s="64"/>
      <c r="M21" s="85">
        <f>-G21</f>
        <v>1694</v>
      </c>
      <c r="N21" s="64"/>
      <c r="O21" s="84" t="s">
        <v>212</v>
      </c>
      <c r="R21" s="40">
        <f>-G22</f>
        <v>-11032</v>
      </c>
    </row>
    <row r="22" spans="3:18" x14ac:dyDescent="0.25">
      <c r="C22" s="84" t="s">
        <v>211</v>
      </c>
      <c r="D22" s="64"/>
      <c r="E22" s="64"/>
      <c r="F22" s="66" t="s">
        <v>69</v>
      </c>
      <c r="G22" s="93">
        <f>6662+4370</f>
        <v>11032</v>
      </c>
      <c r="H22" s="64"/>
      <c r="I22" s="64"/>
      <c r="J22" s="84" t="s">
        <v>212</v>
      </c>
      <c r="M22" s="40">
        <f>-G22</f>
        <v>-11032</v>
      </c>
      <c r="N22" s="64"/>
      <c r="O22" s="84" t="s">
        <v>164</v>
      </c>
      <c r="P22" s="64"/>
      <c r="Q22" s="64"/>
      <c r="R22" s="85">
        <f>M23</f>
        <v>-4782</v>
      </c>
    </row>
    <row r="23" spans="3:18" x14ac:dyDescent="0.25">
      <c r="C23" s="84" t="s">
        <v>162</v>
      </c>
      <c r="D23" s="64"/>
      <c r="E23" s="64"/>
      <c r="F23" s="66" t="s">
        <v>69</v>
      </c>
      <c r="G23" s="93">
        <f>(404+34+4344)</f>
        <v>4782</v>
      </c>
      <c r="H23" s="64"/>
      <c r="I23" s="64"/>
      <c r="J23" s="84" t="s">
        <v>164</v>
      </c>
      <c r="K23" s="64"/>
      <c r="L23" s="64"/>
      <c r="M23" s="85">
        <f>-G23</f>
        <v>-4782</v>
      </c>
      <c r="N23" s="64"/>
      <c r="O23" s="86" t="s">
        <v>166</v>
      </c>
      <c r="P23" s="87"/>
      <c r="Q23" s="87"/>
      <c r="R23" s="88">
        <f>R16+SUM(R20:R22)</f>
        <v>10525.823899339091</v>
      </c>
    </row>
    <row r="24" spans="3:18" x14ac:dyDescent="0.25">
      <c r="C24" s="96" t="s">
        <v>165</v>
      </c>
      <c r="D24" s="87"/>
      <c r="E24" s="87"/>
      <c r="F24" s="97" t="s">
        <v>69</v>
      </c>
      <c r="G24" s="98">
        <f>SUM(G20:G23)</f>
        <v>24548.550246400002</v>
      </c>
      <c r="H24" s="64"/>
      <c r="I24" s="64"/>
      <c r="J24" s="86" t="s">
        <v>166</v>
      </c>
      <c r="K24" s="87"/>
      <c r="L24" s="87"/>
      <c r="M24" s="88">
        <f>M17+SUM(M21:M23)</f>
        <v>9965.2199185221943</v>
      </c>
      <c r="N24" s="64"/>
      <c r="O24" s="84"/>
      <c r="P24" s="64"/>
      <c r="Q24" s="64"/>
      <c r="R24" s="85"/>
    </row>
    <row r="25" spans="3:18" x14ac:dyDescent="0.25">
      <c r="C25" s="64"/>
      <c r="D25" s="64"/>
      <c r="E25" s="64"/>
      <c r="F25" s="64"/>
      <c r="G25" s="64"/>
      <c r="H25" s="64"/>
      <c r="I25" s="64"/>
      <c r="J25" s="84"/>
      <c r="K25" s="64"/>
      <c r="L25" s="64"/>
      <c r="M25" s="85"/>
      <c r="N25" s="64"/>
      <c r="O25" s="64" t="s">
        <v>144</v>
      </c>
      <c r="P25" s="64"/>
      <c r="Q25" s="64"/>
      <c r="R25" s="99">
        <f>Diluted_Shares</f>
        <v>1629.4609760000001</v>
      </c>
    </row>
    <row r="26" spans="3:18" x14ac:dyDescent="0.25">
      <c r="C26" s="64"/>
      <c r="D26" s="64"/>
      <c r="E26" s="64"/>
      <c r="F26" s="64"/>
      <c r="G26" s="64"/>
      <c r="H26" s="64"/>
      <c r="I26" s="64"/>
      <c r="J26" s="64" t="s">
        <v>144</v>
      </c>
      <c r="K26" s="64"/>
      <c r="L26" s="64"/>
      <c r="M26" s="99">
        <f>Diluted_Shares</f>
        <v>1629.4609760000001</v>
      </c>
      <c r="N26" s="64"/>
      <c r="O26" s="84"/>
      <c r="P26" s="64"/>
      <c r="Q26" s="64"/>
      <c r="R26" s="85"/>
    </row>
    <row r="27" spans="3:18" x14ac:dyDescent="0.25">
      <c r="C27" s="64"/>
      <c r="D27" s="64"/>
      <c r="E27" s="64"/>
      <c r="F27" s="64"/>
      <c r="G27" s="64"/>
      <c r="H27" s="64"/>
      <c r="I27" s="64"/>
      <c r="J27" s="84"/>
      <c r="K27" s="64"/>
      <c r="L27" s="64"/>
      <c r="M27" s="85"/>
      <c r="N27" s="64"/>
      <c r="O27" s="135" t="s">
        <v>167</v>
      </c>
      <c r="P27" s="136"/>
      <c r="Q27" s="136"/>
      <c r="R27" s="137">
        <f>R23/R25</f>
        <v>6.459696828811377</v>
      </c>
    </row>
    <row r="28" spans="3:18" x14ac:dyDescent="0.25">
      <c r="C28" s="64"/>
      <c r="D28" s="64"/>
      <c r="E28" s="64"/>
      <c r="F28" s="64"/>
      <c r="G28" s="64"/>
      <c r="H28" s="64"/>
      <c r="I28" s="64"/>
      <c r="J28" s="135" t="s">
        <v>167</v>
      </c>
      <c r="K28" s="136"/>
      <c r="L28" s="136"/>
      <c r="M28" s="137">
        <f>M24/M26</f>
        <v>6.1156542349267005</v>
      </c>
      <c r="N28" s="64"/>
      <c r="O28" s="138" t="s">
        <v>168</v>
      </c>
      <c r="P28" s="139"/>
      <c r="Q28" s="139"/>
      <c r="R28" s="140">
        <f>R27/Share_Price-1</f>
        <v>9.3276295017776789E-3</v>
      </c>
    </row>
    <row r="29" spans="3:18" x14ac:dyDescent="0.25">
      <c r="C29" s="64"/>
      <c r="D29" s="64"/>
      <c r="E29" s="64"/>
      <c r="F29" s="64"/>
      <c r="G29" s="64"/>
      <c r="H29" s="64"/>
      <c r="I29" s="64"/>
      <c r="J29" s="138" t="s">
        <v>168</v>
      </c>
      <c r="K29" s="139"/>
      <c r="L29" s="139"/>
      <c r="M29" s="140">
        <f>M28/Share_Price-1</f>
        <v>-4.4429025792703136E-2</v>
      </c>
      <c r="N29" s="64"/>
    </row>
    <row r="30" spans="3:18" x14ac:dyDescent="0.25">
      <c r="H30" s="64"/>
      <c r="I30" s="64"/>
      <c r="N30" s="64"/>
    </row>
    <row r="31" spans="3:18" x14ac:dyDescent="0.25">
      <c r="H31" s="64"/>
      <c r="I31" s="64"/>
      <c r="N31" s="64"/>
    </row>
    <row r="32" spans="3:18" x14ac:dyDescent="0.25">
      <c r="H32" s="64"/>
      <c r="I32" s="64"/>
      <c r="N32" s="64"/>
    </row>
    <row r="34" spans="2:19" x14ac:dyDescent="0.25">
      <c r="B34" s="30"/>
      <c r="C34" s="30"/>
      <c r="D34" s="30"/>
      <c r="E34" s="30"/>
      <c r="F34" s="30"/>
      <c r="G34" s="49" t="s">
        <v>130</v>
      </c>
      <c r="H34" s="60"/>
      <c r="I34" s="60"/>
      <c r="J34" s="60"/>
      <c r="K34" s="60"/>
      <c r="L34" s="60"/>
      <c r="M34" s="60"/>
      <c r="N34" s="61" t="s">
        <v>131</v>
      </c>
      <c r="O34" s="62"/>
      <c r="P34" s="62"/>
      <c r="Q34" s="62"/>
      <c r="R34" s="62"/>
      <c r="S34" s="62"/>
    </row>
    <row r="35" spans="2:19" x14ac:dyDescent="0.25">
      <c r="B35" s="31" t="s">
        <v>62</v>
      </c>
      <c r="C35" s="31"/>
      <c r="D35" s="30"/>
      <c r="E35" s="30"/>
      <c r="F35" s="30"/>
      <c r="G35" s="34" t="s">
        <v>65</v>
      </c>
      <c r="H35" s="35">
        <f>I35-365</f>
        <v>43282</v>
      </c>
      <c r="I35" s="35">
        <f>J35-365</f>
        <v>43647</v>
      </c>
      <c r="J35" s="35">
        <f>K35-365</f>
        <v>44012</v>
      </c>
      <c r="K35" s="35">
        <f>L35-365</f>
        <v>44377</v>
      </c>
      <c r="L35" s="35">
        <f>M35-365</f>
        <v>44742</v>
      </c>
      <c r="M35" s="35">
        <v>45107</v>
      </c>
      <c r="N35" s="50">
        <f>M35+365</f>
        <v>45472</v>
      </c>
      <c r="O35" s="51">
        <f>N35+365</f>
        <v>45837</v>
      </c>
      <c r="P35" s="51">
        <f t="shared" ref="P35:S35" si="0">O35+365</f>
        <v>46202</v>
      </c>
      <c r="Q35" s="51">
        <f t="shared" si="0"/>
        <v>46567</v>
      </c>
      <c r="R35" s="51">
        <f t="shared" si="0"/>
        <v>46932</v>
      </c>
      <c r="S35" s="51">
        <f t="shared" si="0"/>
        <v>47297</v>
      </c>
    </row>
    <row r="37" spans="2:19" x14ac:dyDescent="0.25">
      <c r="C37" s="4" t="s">
        <v>67</v>
      </c>
    </row>
    <row r="38" spans="2:19" x14ac:dyDescent="0.25">
      <c r="C38" s="122" t="s">
        <v>92</v>
      </c>
      <c r="G38" s="37" t="s">
        <v>69</v>
      </c>
      <c r="H38" s="1">
        <f>'4. Revenue Drivers'!C6</f>
        <v>9740</v>
      </c>
      <c r="I38" s="1">
        <f>'4. Revenue Drivers'!D6</f>
        <v>10067</v>
      </c>
      <c r="J38" s="1">
        <f>'4. Revenue Drivers'!E6</f>
        <v>7678</v>
      </c>
      <c r="K38" s="1">
        <f>'4. Revenue Drivers'!F6</f>
        <v>3885</v>
      </c>
      <c r="L38" s="1">
        <f>'4. Revenue Drivers'!G6</f>
        <v>4888</v>
      </c>
      <c r="M38" s="1">
        <f>'4. Revenue Drivers'!H6</f>
        <v>11215</v>
      </c>
      <c r="N38" s="1">
        <f>'4. Revenue Drivers'!I6</f>
        <v>11981.521320517901</v>
      </c>
      <c r="O38" s="1">
        <f>'4. Revenue Drivers'!J6</f>
        <v>12316.200687012813</v>
      </c>
      <c r="P38" s="1">
        <f>'4. Revenue Drivers'!K6</f>
        <v>12650.880053507728</v>
      </c>
      <c r="Q38" s="1">
        <f>'4. Revenue Drivers'!L6</f>
        <v>12985.559420002641</v>
      </c>
      <c r="R38" s="1">
        <f>'4. Revenue Drivers'!M6</f>
        <v>13320.238786497554</v>
      </c>
      <c r="S38" s="1">
        <f>'4. Revenue Drivers'!N6</f>
        <v>13654.918152992468</v>
      </c>
    </row>
    <row r="39" spans="2:19" x14ac:dyDescent="0.25">
      <c r="C39" s="45" t="s">
        <v>109</v>
      </c>
      <c r="M39" s="1"/>
      <c r="N39" s="1"/>
      <c r="O39" s="1"/>
      <c r="P39" s="1"/>
      <c r="Q39" s="1"/>
      <c r="R39" s="1"/>
      <c r="S39" s="1"/>
    </row>
    <row r="40" spans="2:19" x14ac:dyDescent="0.25">
      <c r="C40" s="33"/>
      <c r="M40" s="1"/>
      <c r="N40" s="1"/>
      <c r="O40" s="1"/>
      <c r="P40" s="1"/>
      <c r="Q40" s="1"/>
      <c r="R40" s="1"/>
      <c r="S40" s="1"/>
    </row>
    <row r="41" spans="2:19" x14ac:dyDescent="0.25">
      <c r="C41" s="122" t="s">
        <v>93</v>
      </c>
      <c r="G41" s="37" t="s">
        <v>69</v>
      </c>
      <c r="H41" s="1">
        <f>'4. Revenue Drivers'!C17</f>
        <v>6925</v>
      </c>
      <c r="I41" s="1">
        <f>'4. Revenue Drivers'!D17</f>
        <v>7425</v>
      </c>
      <c r="J41" s="1">
        <f>'4. Revenue Drivers'!E17</f>
        <v>6077</v>
      </c>
      <c r="K41" s="1">
        <f>'4. Revenue Drivers'!F17</f>
        <v>1598</v>
      </c>
      <c r="L41" s="1">
        <f>'4. Revenue Drivers'!G17</f>
        <v>3706</v>
      </c>
      <c r="M41" s="1">
        <f>'4. Revenue Drivers'!H17</f>
        <v>7749</v>
      </c>
      <c r="N41" s="1">
        <f>'4. Revenue Drivers'!I17</f>
        <v>8054.5161290322585</v>
      </c>
      <c r="O41" s="1">
        <f>'4. Revenue Drivers'!J17</f>
        <v>8360.032258064517</v>
      </c>
      <c r="P41" s="1">
        <f>'4. Revenue Drivers'!K17</f>
        <v>8665.5483870967746</v>
      </c>
      <c r="Q41" s="1">
        <f>'4. Revenue Drivers'!L17</f>
        <v>8971.064516129034</v>
      </c>
      <c r="R41" s="1">
        <f>'4. Revenue Drivers'!M17</f>
        <v>9276.5806451612916</v>
      </c>
      <c r="S41" s="1">
        <f>'4. Revenue Drivers'!N17</f>
        <v>9582.0967741935492</v>
      </c>
    </row>
    <row r="42" spans="2:19" x14ac:dyDescent="0.25">
      <c r="C42" s="45" t="s">
        <v>109</v>
      </c>
      <c r="M42" s="1"/>
      <c r="N42" s="1"/>
      <c r="O42" s="1"/>
      <c r="P42" s="1"/>
      <c r="Q42" s="1"/>
      <c r="R42" s="1"/>
      <c r="S42" s="1"/>
    </row>
    <row r="43" spans="2:19" x14ac:dyDescent="0.25">
      <c r="C43" s="33"/>
      <c r="N43" s="1"/>
      <c r="O43" s="1"/>
      <c r="P43" s="1"/>
      <c r="Q43" s="1"/>
      <c r="R43" s="1"/>
      <c r="S43" s="1"/>
    </row>
    <row r="44" spans="2:19" x14ac:dyDescent="0.25">
      <c r="C44" s="122" t="s">
        <v>118</v>
      </c>
      <c r="G44" s="37" t="s">
        <v>69</v>
      </c>
      <c r="H44" s="1">
        <f>'4. Revenue Drivers'!C23</f>
        <v>1289</v>
      </c>
      <c r="I44" s="1">
        <f>'4. Revenue Drivers'!D23</f>
        <v>1299</v>
      </c>
      <c r="J44" s="1">
        <f>'4. Revenue Drivers'!E23</f>
        <v>1029</v>
      </c>
      <c r="K44" s="1">
        <f>'4. Revenue Drivers'!F23</f>
        <v>852</v>
      </c>
      <c r="L44" s="1">
        <f>'4. Revenue Drivers'!G23</f>
        <v>1194</v>
      </c>
      <c r="M44" s="1">
        <f>'4. Revenue Drivers'!H23</f>
        <v>1512</v>
      </c>
      <c r="N44" s="1">
        <f>'4. Revenue Drivers'!I23</f>
        <v>1624.3877068557917</v>
      </c>
      <c r="O44" s="1">
        <f>'4. Revenue Drivers'!J23</f>
        <v>1720.7757244493625</v>
      </c>
      <c r="P44" s="1">
        <f>'4. Revenue Drivers'!K23</f>
        <v>1806.8145106718305</v>
      </c>
      <c r="Q44" s="1">
        <f>'4. Revenue Drivers'!L23</f>
        <v>1897.1552362054222</v>
      </c>
      <c r="R44" s="1">
        <f>'4. Revenue Drivers'!M23</f>
        <v>1992.0129980156933</v>
      </c>
      <c r="S44" s="1">
        <f>'4. Revenue Drivers'!N23</f>
        <v>2091.6136479164779</v>
      </c>
    </row>
    <row r="45" spans="2:19" x14ac:dyDescent="0.25">
      <c r="C45" s="45" t="s">
        <v>109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2:19" x14ac:dyDescent="0.25">
      <c r="C46" s="122" t="s">
        <v>119</v>
      </c>
      <c r="G46" s="37" t="s">
        <v>69</v>
      </c>
      <c r="H46" s="1">
        <f t="shared" ref="H46:L46" si="1">H48-H44</f>
        <v>895</v>
      </c>
      <c r="I46" s="1">
        <f t="shared" si="1"/>
        <v>971</v>
      </c>
      <c r="J46" s="1">
        <f t="shared" si="1"/>
        <v>1045</v>
      </c>
      <c r="K46" s="1">
        <f t="shared" si="1"/>
        <v>1316</v>
      </c>
      <c r="L46" s="1">
        <f t="shared" si="1"/>
        <v>1963</v>
      </c>
      <c r="M46" s="1">
        <f>M48-M44</f>
        <v>1380</v>
      </c>
      <c r="N46" s="1">
        <f>(N38+N41)*N47</f>
        <v>1215.4255644057189</v>
      </c>
      <c r="O46" s="1">
        <f t="shared" ref="O46:S46" si="2">(O38+O41)*O47</f>
        <v>1254.2610863216846</v>
      </c>
      <c r="P46" s="1">
        <f t="shared" si="2"/>
        <v>1293.0966082376501</v>
      </c>
      <c r="Q46" s="1">
        <f t="shared" si="2"/>
        <v>1331.9321301536156</v>
      </c>
      <c r="R46" s="1">
        <f t="shared" si="2"/>
        <v>1370.7676520695811</v>
      </c>
      <c r="S46" s="1">
        <f t="shared" si="2"/>
        <v>1409.6031739855466</v>
      </c>
    </row>
    <row r="47" spans="2:19" x14ac:dyDescent="0.25">
      <c r="C47" s="45" t="s">
        <v>123</v>
      </c>
      <c r="D47" s="44"/>
      <c r="E47" s="44"/>
      <c r="F47" s="44"/>
      <c r="G47" s="37" t="s">
        <v>88</v>
      </c>
      <c r="H47" s="53">
        <f>H46/(H38+H41)</f>
        <v>5.3705370537053702E-2</v>
      </c>
      <c r="I47" s="53">
        <f t="shared" ref="I47:M47" si="3">I46/(I38+I41)</f>
        <v>5.5511090784358563E-2</v>
      </c>
      <c r="J47" s="53">
        <f t="shared" si="3"/>
        <v>7.5972373682297353E-2</v>
      </c>
      <c r="K47" s="53">
        <f t="shared" si="3"/>
        <v>0.24001459055261717</v>
      </c>
      <c r="L47" s="53">
        <f t="shared" si="3"/>
        <v>0.2284151733767745</v>
      </c>
      <c r="M47" s="53">
        <f t="shared" si="3"/>
        <v>7.2769457920269981E-2</v>
      </c>
      <c r="N47" s="59">
        <f>AVERAGE(H47:I47,M47)</f>
        <v>6.0661973080560753E-2</v>
      </c>
      <c r="O47" s="59">
        <f>N47</f>
        <v>6.0661973080560753E-2</v>
      </c>
      <c r="P47" s="59">
        <f t="shared" ref="P47:S47" si="4">O47</f>
        <v>6.0661973080560753E-2</v>
      </c>
      <c r="Q47" s="59">
        <f t="shared" si="4"/>
        <v>6.0661973080560753E-2</v>
      </c>
      <c r="R47" s="59">
        <f t="shared" si="4"/>
        <v>6.0661973080560753E-2</v>
      </c>
      <c r="S47" s="59">
        <f t="shared" si="4"/>
        <v>6.0661973080560753E-2</v>
      </c>
    </row>
    <row r="48" spans="2:19" x14ac:dyDescent="0.25">
      <c r="C48" s="122" t="s">
        <v>120</v>
      </c>
      <c r="G48" s="37" t="s">
        <v>69</v>
      </c>
      <c r="H48" s="1">
        <f t="shared" ref="H48:L48" si="5">H76</f>
        <v>2184</v>
      </c>
      <c r="I48" s="1">
        <f t="shared" si="5"/>
        <v>2270</v>
      </c>
      <c r="J48" s="1">
        <f t="shared" si="5"/>
        <v>2074</v>
      </c>
      <c r="K48" s="1">
        <f t="shared" si="5"/>
        <v>2168</v>
      </c>
      <c r="L48" s="1">
        <f t="shared" si="5"/>
        <v>3157</v>
      </c>
      <c r="M48" s="1">
        <f>M76</f>
        <v>2892</v>
      </c>
      <c r="N48" s="1">
        <f>N44+N46</f>
        <v>2839.8132712615106</v>
      </c>
      <c r="O48" s="1">
        <f t="shared" ref="O48:S48" si="6">O44+O46</f>
        <v>2975.0368107710474</v>
      </c>
      <c r="P48" s="1">
        <f t="shared" si="6"/>
        <v>3099.9111189094806</v>
      </c>
      <c r="Q48" s="1">
        <f t="shared" si="6"/>
        <v>3229.0873663590378</v>
      </c>
      <c r="R48" s="1">
        <f t="shared" si="6"/>
        <v>3362.7806500852744</v>
      </c>
      <c r="S48" s="1">
        <f t="shared" si="6"/>
        <v>3501.2168219020245</v>
      </c>
    </row>
    <row r="49" spans="1:20" x14ac:dyDescent="0.25">
      <c r="C49" s="45"/>
      <c r="M49" s="1"/>
      <c r="N49" s="1"/>
      <c r="O49" s="1"/>
      <c r="P49" s="1"/>
      <c r="Q49" s="1"/>
      <c r="R49" s="1"/>
      <c r="S49" s="1"/>
    </row>
    <row r="50" spans="1:20" x14ac:dyDescent="0.25">
      <c r="C50" s="122" t="s">
        <v>121</v>
      </c>
      <c r="G50" s="37" t="s">
        <v>69</v>
      </c>
      <c r="H50" s="43">
        <v>-1721</v>
      </c>
      <c r="I50" s="43">
        <v>-1796</v>
      </c>
      <c r="J50" s="43">
        <v>-1572</v>
      </c>
      <c r="K50" s="43">
        <v>-1717</v>
      </c>
      <c r="L50" s="43">
        <v>-2643</v>
      </c>
      <c r="M50" s="43">
        <v>-2041</v>
      </c>
      <c r="N50" s="1">
        <f>(N38+N41+N48)*N51</f>
        <v>-2101.2996689580309</v>
      </c>
      <c r="O50" s="1">
        <f t="shared" ref="O50:S50" si="7">(O38+O41+O48)*O51</f>
        <v>-2172.5270860937803</v>
      </c>
      <c r="P50" s="1">
        <f t="shared" si="7"/>
        <v>-2242.8038572089963</v>
      </c>
      <c r="Q50" s="1">
        <f t="shared" si="7"/>
        <v>-2313.4757901811709</v>
      </c>
      <c r="R50" s="1">
        <f t="shared" si="7"/>
        <v>-2384.562643103151</v>
      </c>
      <c r="S50" s="1">
        <f t="shared" si="7"/>
        <v>-2456.0851619724281</v>
      </c>
    </row>
    <row r="51" spans="1:20" x14ac:dyDescent="0.25">
      <c r="C51" s="45" t="s">
        <v>122</v>
      </c>
      <c r="D51" s="44"/>
      <c r="E51" s="44"/>
      <c r="F51" s="44"/>
      <c r="G51" s="37" t="s">
        <v>88</v>
      </c>
      <c r="H51" s="58">
        <f>H50/(H38+H41+H48)</f>
        <v>-9.13045784922277E-2</v>
      </c>
      <c r="I51" s="58">
        <f t="shared" ref="I51:M51" si="8">I50/(I38+I41+I48)</f>
        <v>-9.0881489727760348E-2</v>
      </c>
      <c r="J51" s="58">
        <f t="shared" si="8"/>
        <v>-9.9311390485817178E-2</v>
      </c>
      <c r="K51" s="58">
        <f t="shared" si="8"/>
        <v>-0.22441510913606064</v>
      </c>
      <c r="L51" s="58">
        <f t="shared" si="8"/>
        <v>-0.22491702833801377</v>
      </c>
      <c r="M51" s="58">
        <f t="shared" si="8"/>
        <v>-9.3383967789165453E-2</v>
      </c>
      <c r="N51" s="57">
        <f>AVERAGE(H51:I51,M51)</f>
        <v>-9.1856678669717848E-2</v>
      </c>
      <c r="O51" s="57">
        <f>N51</f>
        <v>-9.1856678669717848E-2</v>
      </c>
      <c r="P51" s="57">
        <f t="shared" ref="P51:S51" si="9">O51</f>
        <v>-9.1856678669717848E-2</v>
      </c>
      <c r="Q51" s="57">
        <f t="shared" si="9"/>
        <v>-9.1856678669717848E-2</v>
      </c>
      <c r="R51" s="57">
        <f t="shared" si="9"/>
        <v>-9.1856678669717848E-2</v>
      </c>
      <c r="S51" s="57">
        <f t="shared" si="9"/>
        <v>-9.1856678669717848E-2</v>
      </c>
    </row>
    <row r="52" spans="1:20" x14ac:dyDescent="0.25">
      <c r="H52" s="46"/>
      <c r="I52" s="46"/>
      <c r="J52" s="46"/>
      <c r="K52" s="46"/>
      <c r="L52" s="46"/>
      <c r="M52" s="46"/>
      <c r="N52" s="1"/>
      <c r="O52" s="1"/>
      <c r="P52" s="1"/>
      <c r="Q52" s="1"/>
      <c r="R52" s="1"/>
      <c r="S52" s="1"/>
    </row>
    <row r="53" spans="1:20" x14ac:dyDescent="0.25">
      <c r="C53" s="4" t="s">
        <v>68</v>
      </c>
      <c r="G53" s="37" t="s">
        <v>69</v>
      </c>
      <c r="H53" s="1">
        <f t="shared" ref="H53:L53" si="10">H38+H41+H48</f>
        <v>18849</v>
      </c>
      <c r="I53" s="1">
        <f t="shared" si="10"/>
        <v>19762</v>
      </c>
      <c r="J53" s="1">
        <f t="shared" si="10"/>
        <v>15829</v>
      </c>
      <c r="K53" s="1">
        <f t="shared" si="10"/>
        <v>7651</v>
      </c>
      <c r="L53" s="1">
        <f t="shared" si="10"/>
        <v>11751</v>
      </c>
      <c r="M53" s="1">
        <f>M38+M41+M48+M50</f>
        <v>19815</v>
      </c>
      <c r="N53" s="1">
        <f t="shared" ref="N53:S53" si="11">N38+N41+N48+N50</f>
        <v>20774.551051853639</v>
      </c>
      <c r="O53" s="1">
        <f t="shared" si="11"/>
        <v>21478.742669754596</v>
      </c>
      <c r="P53" s="1">
        <f t="shared" si="11"/>
        <v>22173.535702304987</v>
      </c>
      <c r="Q53" s="1">
        <f t="shared" si="11"/>
        <v>22872.235512309544</v>
      </c>
      <c r="R53" s="1">
        <f t="shared" si="11"/>
        <v>23575.037438640968</v>
      </c>
      <c r="S53" s="1">
        <f t="shared" si="11"/>
        <v>24282.146587115614</v>
      </c>
    </row>
    <row r="54" spans="1:20" x14ac:dyDescent="0.25">
      <c r="M54" s="1"/>
      <c r="N54" s="1"/>
      <c r="O54" s="1"/>
      <c r="P54" s="1"/>
      <c r="Q54" s="1"/>
      <c r="R54" s="1"/>
      <c r="S54" s="1"/>
    </row>
    <row r="55" spans="1:20" x14ac:dyDescent="0.25">
      <c r="C55" t="s">
        <v>124</v>
      </c>
      <c r="G55" s="37" t="s">
        <v>69</v>
      </c>
      <c r="H55" s="56">
        <f>H80</f>
        <v>-6885</v>
      </c>
      <c r="I55" s="56">
        <f t="shared" ref="I55:M55" si="12">I80</f>
        <v>-7841</v>
      </c>
      <c r="J55" s="56">
        <f t="shared" si="12"/>
        <v>-6415</v>
      </c>
      <c r="K55" s="56">
        <f t="shared" si="12"/>
        <v>-2390</v>
      </c>
      <c r="L55" s="56">
        <f t="shared" si="12"/>
        <v>-4176</v>
      </c>
      <c r="M55" s="56">
        <f t="shared" si="12"/>
        <v>-8551</v>
      </c>
      <c r="N55" s="1">
        <f>(N38+N41)*N56</f>
        <v>-8764.4998290325802</v>
      </c>
      <c r="O55" s="1">
        <f t="shared" ref="O55:S55" si="13">(O38+O41)*O56</f>
        <v>-9044.5448891011474</v>
      </c>
      <c r="P55" s="1">
        <f t="shared" si="13"/>
        <v>-9324.5899491697146</v>
      </c>
      <c r="Q55" s="1">
        <f t="shared" si="13"/>
        <v>-9604.63500923828</v>
      </c>
      <c r="R55" s="1">
        <f t="shared" si="13"/>
        <v>-9884.6800693068453</v>
      </c>
      <c r="S55" s="1">
        <f t="shared" si="13"/>
        <v>-10164.725129375413</v>
      </c>
    </row>
    <row r="56" spans="1:20" x14ac:dyDescent="0.25">
      <c r="C56" s="45" t="s">
        <v>125</v>
      </c>
      <c r="D56" s="44"/>
      <c r="E56" s="44"/>
      <c r="F56" s="44"/>
      <c r="G56" s="37" t="s">
        <v>88</v>
      </c>
      <c r="H56" s="58">
        <f>H55/(H38+H41)</f>
        <v>-0.41314131413141314</v>
      </c>
      <c r="I56" s="58">
        <f t="shared" ref="I56:M56" si="14">I55/(I38+I41)</f>
        <v>-0.44826206265721474</v>
      </c>
      <c r="J56" s="58">
        <f t="shared" si="14"/>
        <v>-0.4663758633224282</v>
      </c>
      <c r="K56" s="58">
        <f t="shared" si="14"/>
        <v>-0.43589275943826372</v>
      </c>
      <c r="L56" s="58">
        <f t="shared" si="14"/>
        <v>-0.48592040958808469</v>
      </c>
      <c r="M56" s="58">
        <f t="shared" si="14"/>
        <v>-0.45090698164944104</v>
      </c>
      <c r="N56" s="57">
        <f>AVERAGE(H56:I56,M56)</f>
        <v>-0.43743678614602294</v>
      </c>
      <c r="O56" s="57">
        <f>N56</f>
        <v>-0.43743678614602294</v>
      </c>
      <c r="P56" s="57">
        <f t="shared" ref="P56:S56" si="15">O56</f>
        <v>-0.43743678614602294</v>
      </c>
      <c r="Q56" s="57">
        <f t="shared" si="15"/>
        <v>-0.43743678614602294</v>
      </c>
      <c r="R56" s="57">
        <f t="shared" si="15"/>
        <v>-0.43743678614602294</v>
      </c>
      <c r="S56" s="57">
        <f t="shared" si="15"/>
        <v>-0.43743678614602294</v>
      </c>
    </row>
    <row r="57" spans="1:20" x14ac:dyDescent="0.25">
      <c r="M57" s="1"/>
      <c r="N57" s="1"/>
      <c r="O57" s="1"/>
      <c r="P57" s="1"/>
      <c r="Q57" s="1"/>
      <c r="R57" s="1"/>
      <c r="S57" s="1"/>
    </row>
    <row r="58" spans="1:20" x14ac:dyDescent="0.25">
      <c r="C58" t="s">
        <v>126</v>
      </c>
      <c r="G58" s="37" t="s">
        <v>69</v>
      </c>
      <c r="H58" s="56">
        <f>-'2. FY23 P&amp;L'!J12</f>
        <v>-4291</v>
      </c>
      <c r="I58" s="56">
        <f>-'2. FY23 P&amp;L'!I12</f>
        <v>-4268</v>
      </c>
      <c r="J58" s="56">
        <f>-'2. FY23 P&amp;L'!H12</f>
        <v>-3646</v>
      </c>
      <c r="K58" s="56">
        <f>-'2. FY23 P&amp;L'!G12</f>
        <v>-1970</v>
      </c>
      <c r="L58" s="56">
        <f>-'2. FY23 P&amp;L'!F12</f>
        <v>-3024</v>
      </c>
      <c r="M58" s="56">
        <f>-'2. FY23 P&amp;L'!E12</f>
        <v>-4261</v>
      </c>
      <c r="N58" s="1">
        <f>N53*N59</f>
        <v>-4561.1253222765345</v>
      </c>
      <c r="O58" s="1">
        <f t="shared" ref="O58:S58" si="16">O53*O59</f>
        <v>-4715.7330542138443</v>
      </c>
      <c r="P58" s="1">
        <f t="shared" si="16"/>
        <v>-4868.2772938750004</v>
      </c>
      <c r="Q58" s="1">
        <f t="shared" si="16"/>
        <v>-5021.6792801863839</v>
      </c>
      <c r="R58" s="1">
        <f t="shared" si="16"/>
        <v>-5175.981900480504</v>
      </c>
      <c r="S58" s="1">
        <f t="shared" si="16"/>
        <v>-5331.2301864565006</v>
      </c>
    </row>
    <row r="59" spans="1:20" x14ac:dyDescent="0.25">
      <c r="C59" s="45" t="s">
        <v>127</v>
      </c>
      <c r="D59" s="44"/>
      <c r="E59" s="44"/>
      <c r="F59" s="44"/>
      <c r="G59" s="37" t="s">
        <v>88</v>
      </c>
      <c r="H59" s="58">
        <f>H58/H53</f>
        <v>-0.22765133428829115</v>
      </c>
      <c r="I59" s="58">
        <f t="shared" ref="I59:M59" si="17">I58/I53</f>
        <v>-0.21597004351786256</v>
      </c>
      <c r="J59" s="58">
        <f t="shared" si="17"/>
        <v>-0.23033672373491693</v>
      </c>
      <c r="K59" s="58">
        <f t="shared" si="17"/>
        <v>-0.25748268200235264</v>
      </c>
      <c r="L59" s="58">
        <f t="shared" si="17"/>
        <v>-0.25733980086801123</v>
      </c>
      <c r="M59" s="58">
        <f t="shared" si="17"/>
        <v>-0.21503911178400201</v>
      </c>
      <c r="N59" s="57">
        <f>AVERAGE(H59:I59,M59)</f>
        <v>-0.21955349653005193</v>
      </c>
      <c r="O59" s="57">
        <f>N59</f>
        <v>-0.21955349653005193</v>
      </c>
      <c r="P59" s="57">
        <f t="shared" ref="P59:S59" si="18">O59</f>
        <v>-0.21955349653005193</v>
      </c>
      <c r="Q59" s="57">
        <f t="shared" si="18"/>
        <v>-0.21955349653005193</v>
      </c>
      <c r="R59" s="57">
        <f t="shared" si="18"/>
        <v>-0.21955349653005193</v>
      </c>
      <c r="S59" s="57">
        <f t="shared" si="18"/>
        <v>-0.21955349653005193</v>
      </c>
    </row>
    <row r="60" spans="1:20" x14ac:dyDescent="0.25">
      <c r="M60" s="1"/>
      <c r="N60" s="1"/>
      <c r="O60" s="1"/>
      <c r="P60" s="1"/>
      <c r="Q60" s="1"/>
      <c r="R60" s="1"/>
      <c r="S60" s="1"/>
    </row>
    <row r="61" spans="1:20" x14ac:dyDescent="0.25">
      <c r="C61" t="s">
        <v>207</v>
      </c>
      <c r="L61" s="1"/>
      <c r="M61" s="1"/>
    </row>
    <row r="62" spans="1:20" x14ac:dyDescent="0.25">
      <c r="C62" s="33" t="s">
        <v>203</v>
      </c>
      <c r="G62" s="37" t="s">
        <v>69</v>
      </c>
      <c r="H62" s="1">
        <f>('7. Depreciation &amp; Amortisation'!D9+'7. Depreciation &amp; Amortisation'!D10+'7. Depreciation &amp; Amortisation'!D11+'7. Depreciation &amp; Amortisation'!D14+'7. Depreciation &amp; Amortisation'!D20)</f>
        <v>-1210.2206006174572</v>
      </c>
      <c r="I62" s="1">
        <f>('7. Depreciation &amp; Amortisation'!E9+'7. Depreciation &amp; Amortisation'!E10+'7. Depreciation &amp; Amortisation'!E11+'7. Depreciation &amp; Amortisation'!E14+'7. Depreciation &amp; Amortisation'!E20)</f>
        <v>-1318.7285994948077</v>
      </c>
      <c r="J62" s="1">
        <f>('7. Depreciation &amp; Amortisation'!F9+'7. Depreciation &amp; Amortisation'!F10+'7. Depreciation &amp; Amortisation'!F11+'7. Depreciation &amp; Amortisation'!F14+'7. Depreciation &amp; Amortisation'!F20)</f>
        <v>-1535.8284450314829</v>
      </c>
      <c r="K62" s="1">
        <f>('7. Depreciation &amp; Amortisation'!G9+'7. Depreciation &amp; Amortisation'!G10+'7. Depreciation &amp; Amortisation'!G11+'7. Depreciation &amp; Amortisation'!G14+'7. Depreciation &amp; Amortisation'!G20)</f>
        <v>-1438.4722760005789</v>
      </c>
      <c r="L62" s="1">
        <f>('7. Depreciation &amp; Amortisation'!H9+'7. Depreciation &amp; Amortisation'!H10+'7. Depreciation &amp; Amortisation'!H11+'7. Depreciation &amp; Amortisation'!H14+'7. Depreciation &amp; Amortisation'!H20)</f>
        <v>-1403</v>
      </c>
      <c r="M62" s="1">
        <f>('7. Depreciation &amp; Amortisation'!I9+'7. Depreciation &amp; Amortisation'!I10+'7. Depreciation &amp; Amortisation'!I11+'7. Depreciation &amp; Amortisation'!I14+'7. Depreciation &amp; Amortisation'!I20)</f>
        <v>-1419</v>
      </c>
      <c r="N62" s="47">
        <f>(N38+N41)*N63</f>
        <v>-1488.2559462164704</v>
      </c>
      <c r="O62" s="47">
        <f>(O38+O41)*O63</f>
        <v>-1535.8089993268152</v>
      </c>
      <c r="P62" s="47">
        <f>(P38+P41)*P63</f>
        <v>-1583.3620524371597</v>
      </c>
      <c r="Q62" s="47">
        <f>(Q38+Q41)*Q63</f>
        <v>-1630.9151055475045</v>
      </c>
      <c r="R62" s="47">
        <f>(R38+R41)*R63</f>
        <v>-1678.468158657849</v>
      </c>
      <c r="S62" s="47">
        <f>(S38+S41)*S63</f>
        <v>-1726.0212117681936</v>
      </c>
    </row>
    <row r="63" spans="1:20" x14ac:dyDescent="0.25">
      <c r="A63" s="44"/>
      <c r="B63" s="44"/>
      <c r="C63" s="45" t="s">
        <v>204</v>
      </c>
      <c r="D63" s="44"/>
      <c r="E63" s="44"/>
      <c r="F63" s="44"/>
      <c r="G63" s="37" t="s">
        <v>88</v>
      </c>
      <c r="H63" s="58">
        <f>H62/(H38+H41)</f>
        <v>-7.2620498086856111E-2</v>
      </c>
      <c r="I63" s="58">
        <f t="shared" ref="I63:M63" si="19">I62/(I38+I41)</f>
        <v>-7.5390384146741804E-2</v>
      </c>
      <c r="J63" s="58">
        <f t="shared" si="19"/>
        <v>-0.11165601199792678</v>
      </c>
      <c r="K63" s="58">
        <f t="shared" si="19"/>
        <v>-0.26235131789177074</v>
      </c>
      <c r="L63" s="58">
        <f t="shared" si="19"/>
        <v>-0.16325343262741449</v>
      </c>
      <c r="M63" s="58">
        <f t="shared" si="19"/>
        <v>-7.4825986078886311E-2</v>
      </c>
      <c r="N63" s="57">
        <f>AVERAGE(H63:I63,M63)</f>
        <v>-7.4278956104161409E-2</v>
      </c>
      <c r="O63" s="57">
        <f>N63</f>
        <v>-7.4278956104161409E-2</v>
      </c>
      <c r="P63" s="57">
        <f>O63</f>
        <v>-7.4278956104161409E-2</v>
      </c>
      <c r="Q63" s="57">
        <f>P63</f>
        <v>-7.4278956104161409E-2</v>
      </c>
      <c r="R63" s="57">
        <f>Q63</f>
        <v>-7.4278956104161409E-2</v>
      </c>
      <c r="S63" s="57">
        <f>R63</f>
        <v>-7.4278956104161409E-2</v>
      </c>
      <c r="T63" s="44"/>
    </row>
    <row r="64" spans="1:20" x14ac:dyDescent="0.25">
      <c r="C64" s="33" t="s">
        <v>202</v>
      </c>
      <c r="G64" s="37" t="s">
        <v>69</v>
      </c>
      <c r="H64" s="40">
        <f>H66-H62</f>
        <v>-317.77939938254281</v>
      </c>
      <c r="I64" s="40">
        <f t="shared" ref="I64:M64" si="20">I66-I62</f>
        <v>-346.27140050519233</v>
      </c>
      <c r="J64" s="40">
        <f t="shared" si="20"/>
        <v>-509.17155496851706</v>
      </c>
      <c r="K64" s="40">
        <f t="shared" si="20"/>
        <v>-490.52772399942114</v>
      </c>
      <c r="L64" s="40">
        <f t="shared" si="20"/>
        <v>-398</v>
      </c>
      <c r="M64" s="40">
        <f t="shared" si="20"/>
        <v>-343</v>
      </c>
      <c r="N64" s="40">
        <f>M64*(1+N65)</f>
        <v>-344.71499999999997</v>
      </c>
      <c r="O64" s="40">
        <f>N64*(1+O65)</f>
        <v>-346.43857499999996</v>
      </c>
      <c r="P64" s="40">
        <f>O64*(1+P65)</f>
        <v>-348.17076787499991</v>
      </c>
      <c r="Q64" s="40">
        <f>P64*(1+Q65)</f>
        <v>-349.91162171437486</v>
      </c>
      <c r="R64" s="40">
        <f>Q64*(1+R65)</f>
        <v>-351.66117982294668</v>
      </c>
      <c r="S64" s="40">
        <f>R64*(1+S65)</f>
        <v>-353.41948572206138</v>
      </c>
    </row>
    <row r="65" spans="2:19" x14ac:dyDescent="0.25">
      <c r="C65" s="45" t="s">
        <v>89</v>
      </c>
      <c r="D65" s="44"/>
      <c r="E65" s="44"/>
      <c r="F65" s="44"/>
      <c r="G65" s="37" t="s">
        <v>88</v>
      </c>
      <c r="H65" s="44"/>
      <c r="I65" s="58">
        <f>(I64-H64)/H64</f>
        <v>8.9659685863874572E-2</v>
      </c>
      <c r="J65" s="58">
        <f>(J64-I64)/I64</f>
        <v>0.47044068388455329</v>
      </c>
      <c r="K65" s="58">
        <f>(K64-J64)/J64</f>
        <v>-3.6616010433357174E-2</v>
      </c>
      <c r="L65" s="58">
        <f>(L64-K64)/K64</f>
        <v>-0.1886289387376815</v>
      </c>
      <c r="M65" s="58">
        <f>(M64-L64)/L64</f>
        <v>-0.13819095477386933</v>
      </c>
      <c r="N65" s="57">
        <v>5.0000000000000001E-3</v>
      </c>
      <c r="O65" s="57">
        <f>N65</f>
        <v>5.0000000000000001E-3</v>
      </c>
      <c r="P65" s="57">
        <f>O65</f>
        <v>5.0000000000000001E-3</v>
      </c>
      <c r="Q65" s="57">
        <f>P65</f>
        <v>5.0000000000000001E-3</v>
      </c>
      <c r="R65" s="57">
        <f>Q65</f>
        <v>5.0000000000000001E-3</v>
      </c>
      <c r="S65" s="57">
        <f>R65</f>
        <v>5.0000000000000001E-3</v>
      </c>
    </row>
    <row r="66" spans="2:19" x14ac:dyDescent="0.25">
      <c r="C66" s="33" t="s">
        <v>205</v>
      </c>
      <c r="G66" s="37" t="s">
        <v>69</v>
      </c>
      <c r="H66" s="1">
        <f>-'2. FY23 P&amp;L'!J15</f>
        <v>-1528</v>
      </c>
      <c r="I66" s="1">
        <f>-'2. FY23 P&amp;L'!I15</f>
        <v>-1665</v>
      </c>
      <c r="J66" s="1">
        <f>-'2. FY23 P&amp;L'!H15</f>
        <v>-2045</v>
      </c>
      <c r="K66" s="1">
        <f>-'2. FY23 P&amp;L'!G15</f>
        <v>-1929</v>
      </c>
      <c r="L66" s="1">
        <f>-'2. FY23 P&amp;L'!F15</f>
        <v>-1801</v>
      </c>
      <c r="M66" s="1">
        <f>-'2. FY23 P&amp;L'!E15</f>
        <v>-1762</v>
      </c>
      <c r="N66" s="1">
        <f>N62+N64</f>
        <v>-1832.9709462164703</v>
      </c>
      <c r="O66" s="1">
        <f>O62+O64</f>
        <v>-1882.2475743268151</v>
      </c>
      <c r="P66" s="1">
        <f>P62+P64</f>
        <v>-1931.5328203121596</v>
      </c>
      <c r="Q66" s="1">
        <f>Q62+Q64</f>
        <v>-1980.8267272618793</v>
      </c>
      <c r="R66" s="1">
        <f>R62+R64</f>
        <v>-2030.1293384807957</v>
      </c>
      <c r="S66" s="1">
        <f>S62+S64</f>
        <v>-2079.4406974902549</v>
      </c>
    </row>
    <row r="67" spans="2:19" x14ac:dyDescent="0.25">
      <c r="C67" s="33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2:19" x14ac:dyDescent="0.25">
      <c r="C68" t="s">
        <v>128</v>
      </c>
      <c r="G68" s="37" t="s">
        <v>69</v>
      </c>
      <c r="H68" s="40">
        <f>H81-(H58+H66)</f>
        <v>-2890</v>
      </c>
      <c r="I68" s="40">
        <f t="shared" ref="I68:M68" si="21">I81-(I58+I66)</f>
        <v>-2742</v>
      </c>
      <c r="J68" s="40">
        <f t="shared" si="21"/>
        <v>-4588</v>
      </c>
      <c r="K68" s="40">
        <f t="shared" si="21"/>
        <v>-1695</v>
      </c>
      <c r="L68" s="40">
        <f t="shared" si="21"/>
        <v>-997</v>
      </c>
      <c r="M68" s="40">
        <f t="shared" si="21"/>
        <v>-2552</v>
      </c>
      <c r="N68" s="1">
        <f>N53*N69</f>
        <v>-2575.894056109853</v>
      </c>
      <c r="O68" s="1">
        <f>O53*O69</f>
        <v>-2560.1418317191724</v>
      </c>
      <c r="P68" s="1">
        <f>P53*P69</f>
        <v>-2536.556247953562</v>
      </c>
      <c r="Q68" s="1">
        <f>Q53*Q69</f>
        <v>-2506.7308329160851</v>
      </c>
      <c r="R68" s="1">
        <f>R53*R69</f>
        <v>-2470.6298171986473</v>
      </c>
      <c r="S68" s="1">
        <f>S53*S69</f>
        <v>-2428.2146587115617</v>
      </c>
    </row>
    <row r="69" spans="2:19" x14ac:dyDescent="0.25">
      <c r="C69" s="45" t="s">
        <v>129</v>
      </c>
      <c r="G69" s="37" t="s">
        <v>88</v>
      </c>
      <c r="H69" s="58">
        <f>H68/H53</f>
        <v>-0.15332378375510639</v>
      </c>
      <c r="I69" s="58">
        <f>I68/I53</f>
        <v>-0.13875113854872989</v>
      </c>
      <c r="J69" s="58">
        <f>J68/J53</f>
        <v>-0.28984774780466233</v>
      </c>
      <c r="K69" s="58">
        <f>K68/K53</f>
        <v>-0.22153966801725264</v>
      </c>
      <c r="L69" s="58">
        <f>L68/L53</f>
        <v>-8.4843843077184927E-2</v>
      </c>
      <c r="M69" s="58">
        <f>M68/M53</f>
        <v>-0.12879131970729246</v>
      </c>
      <c r="N69" s="57">
        <f>($S$69-$M$69)/6+M69</f>
        <v>-0.12399276642274372</v>
      </c>
      <c r="O69" s="57">
        <f t="shared" ref="O69:R69" si="22">($S$69-$M$69)/6+N69</f>
        <v>-0.11919421313819498</v>
      </c>
      <c r="P69" s="57">
        <f t="shared" si="22"/>
        <v>-0.11439565985364623</v>
      </c>
      <c r="Q69" s="57">
        <f t="shared" si="22"/>
        <v>-0.10959710656909749</v>
      </c>
      <c r="R69" s="57">
        <f t="shared" si="22"/>
        <v>-0.10479855328454875</v>
      </c>
      <c r="S69" s="57">
        <v>-0.1</v>
      </c>
    </row>
    <row r="71" spans="2:19" x14ac:dyDescent="0.25">
      <c r="B71" s="30"/>
      <c r="C71" s="30"/>
      <c r="D71" s="30"/>
      <c r="E71" s="30"/>
      <c r="F71" s="30"/>
      <c r="G71" s="49" t="s">
        <v>130</v>
      </c>
      <c r="H71" s="60"/>
      <c r="I71" s="60"/>
      <c r="J71" s="60"/>
      <c r="K71" s="60"/>
      <c r="L71" s="60"/>
      <c r="M71" s="60"/>
      <c r="N71" s="61" t="s">
        <v>131</v>
      </c>
      <c r="O71" s="62"/>
      <c r="P71" s="62"/>
      <c r="Q71" s="62"/>
      <c r="R71" s="62"/>
      <c r="S71" s="62"/>
    </row>
    <row r="72" spans="2:19" x14ac:dyDescent="0.25">
      <c r="B72" s="31" t="s">
        <v>70</v>
      </c>
      <c r="C72" s="31"/>
      <c r="D72" s="30"/>
      <c r="E72" s="30"/>
      <c r="F72" s="30"/>
      <c r="G72" s="34" t="s">
        <v>65</v>
      </c>
      <c r="H72" s="35">
        <f>I72-365</f>
        <v>43282</v>
      </c>
      <c r="I72" s="35">
        <f>J72-365</f>
        <v>43647</v>
      </c>
      <c r="J72" s="35">
        <f>K72-365</f>
        <v>44012</v>
      </c>
      <c r="K72" s="35">
        <f>L72-365</f>
        <v>44377</v>
      </c>
      <c r="L72" s="35">
        <f>M72-365</f>
        <v>44742</v>
      </c>
      <c r="M72" s="35">
        <v>45107</v>
      </c>
      <c r="N72" s="50">
        <f>M72+365</f>
        <v>45472</v>
      </c>
      <c r="O72" s="51">
        <f>N72+365</f>
        <v>45837</v>
      </c>
      <c r="P72" s="51">
        <f t="shared" ref="P72:S72" si="23">O72+365</f>
        <v>46202</v>
      </c>
      <c r="Q72" s="51">
        <f t="shared" si="23"/>
        <v>46567</v>
      </c>
      <c r="R72" s="51">
        <f t="shared" si="23"/>
        <v>46932</v>
      </c>
      <c r="S72" s="51">
        <f t="shared" si="23"/>
        <v>47297</v>
      </c>
    </row>
    <row r="73" spans="2:19" x14ac:dyDescent="0.25">
      <c r="G73" s="3"/>
      <c r="H73" s="3"/>
      <c r="I73" s="3"/>
      <c r="J73" s="3"/>
    </row>
    <row r="74" spans="2:19" x14ac:dyDescent="0.25">
      <c r="C74" s="4" t="s">
        <v>67</v>
      </c>
      <c r="G74" s="3"/>
      <c r="H74" s="3"/>
      <c r="I74" s="3"/>
      <c r="J74" s="3"/>
    </row>
    <row r="75" spans="2:19" x14ac:dyDescent="0.25">
      <c r="C75" s="33" t="s">
        <v>1</v>
      </c>
      <c r="G75" s="37" t="s">
        <v>69</v>
      </c>
      <c r="H75" s="1">
        <f>'2. FY23 P&amp;L'!J6</f>
        <v>14944</v>
      </c>
      <c r="I75" s="1">
        <f>'2. FY23 P&amp;L'!I6</f>
        <v>15696</v>
      </c>
      <c r="J75" s="1">
        <f>'2. FY23 P&amp;L'!H6</f>
        <v>12183</v>
      </c>
      <c r="K75" s="1">
        <f>'2. FY23 P&amp;L'!G6</f>
        <v>3766</v>
      </c>
      <c r="L75" s="1">
        <f>'2. FY23 P&amp;L'!F6</f>
        <v>5951</v>
      </c>
      <c r="M75" s="1">
        <f>'2. FY23 P&amp;L'!E6</f>
        <v>16923</v>
      </c>
    </row>
    <row r="76" spans="2:19" x14ac:dyDescent="0.25">
      <c r="C76" s="36" t="s">
        <v>3</v>
      </c>
      <c r="D76" s="18"/>
      <c r="E76" s="18"/>
      <c r="F76" s="18"/>
      <c r="G76" s="38" t="s">
        <v>28</v>
      </c>
      <c r="H76" s="39">
        <f>SUM('2. FY23 P&amp;L'!J7:J8)</f>
        <v>2184</v>
      </c>
      <c r="I76" s="39">
        <f>SUM('2. FY23 P&amp;L'!I7:I8)</f>
        <v>2270</v>
      </c>
      <c r="J76" s="39">
        <f>SUM('2. FY23 P&amp;L'!H7:H8)</f>
        <v>2074</v>
      </c>
      <c r="K76" s="39">
        <f>SUM('2. FY23 P&amp;L'!G7:G8)</f>
        <v>2168</v>
      </c>
      <c r="L76" s="39">
        <f>SUM('2. FY23 P&amp;L'!F7:F8)</f>
        <v>3157</v>
      </c>
      <c r="M76" s="39">
        <f>SUM('2. FY23 P&amp;L'!E7:E8)</f>
        <v>2892</v>
      </c>
      <c r="N76" s="18"/>
      <c r="O76" s="18"/>
      <c r="P76" s="18"/>
      <c r="Q76" s="18"/>
      <c r="R76" s="18"/>
      <c r="S76" s="18"/>
    </row>
    <row r="77" spans="2:19" x14ac:dyDescent="0.25">
      <c r="C77" s="4" t="s">
        <v>68</v>
      </c>
      <c r="D77" s="4"/>
      <c r="E77" s="4"/>
      <c r="F77" s="4"/>
      <c r="G77" s="41" t="s">
        <v>28</v>
      </c>
      <c r="H77" s="42">
        <f t="shared" ref="H77:K77" si="24">SUM(H75:H76)</f>
        <v>17128</v>
      </c>
      <c r="I77" s="42">
        <f t="shared" si="24"/>
        <v>17966</v>
      </c>
      <c r="J77" s="42">
        <f t="shared" si="24"/>
        <v>14257</v>
      </c>
      <c r="K77" s="42">
        <f t="shared" si="24"/>
        <v>5934</v>
      </c>
      <c r="L77" s="42">
        <f>SUM(L75:L76)</f>
        <v>9108</v>
      </c>
      <c r="M77" s="42">
        <f>SUM(M75:M76)</f>
        <v>19815</v>
      </c>
      <c r="N77" s="124">
        <f>N53</f>
        <v>20774.551051853639</v>
      </c>
      <c r="O77" s="124">
        <f>O53</f>
        <v>21478.742669754596</v>
      </c>
      <c r="P77" s="124">
        <f>P53</f>
        <v>22173.535702304987</v>
      </c>
      <c r="Q77" s="124">
        <f>Q53</f>
        <v>22872.235512309544</v>
      </c>
      <c r="R77" s="124">
        <f>R53</f>
        <v>23575.037438640968</v>
      </c>
      <c r="S77" s="124">
        <f>S53</f>
        <v>24282.146587115614</v>
      </c>
    </row>
    <row r="78" spans="2:19" x14ac:dyDescent="0.25">
      <c r="C78" s="45" t="s">
        <v>89</v>
      </c>
      <c r="G78" s="37" t="s">
        <v>88</v>
      </c>
      <c r="I78" s="55">
        <f>(I77-H77)/H77</f>
        <v>4.8925735637552543E-2</v>
      </c>
      <c r="J78" s="55">
        <f t="shared" ref="J78:N78" si="25">(J77-I77)/I77</f>
        <v>-0.20644550818212179</v>
      </c>
      <c r="K78" s="55">
        <f t="shared" si="25"/>
        <v>-0.58378340464333311</v>
      </c>
      <c r="L78" s="55">
        <f t="shared" si="25"/>
        <v>0.53488372093023251</v>
      </c>
      <c r="M78" s="55">
        <f t="shared" si="25"/>
        <v>1.1755599472990776</v>
      </c>
      <c r="N78" s="55">
        <f t="shared" si="25"/>
        <v>4.8425488360012078E-2</v>
      </c>
      <c r="O78" s="55">
        <f t="shared" ref="O78" si="26">(O77-N77)/N77</f>
        <v>3.3896839269512119E-2</v>
      </c>
      <c r="P78" s="55">
        <f t="shared" ref="P78" si="27">(P77-O77)/O77</f>
        <v>3.2347937830121111E-2</v>
      </c>
      <c r="Q78" s="55">
        <f t="shared" ref="Q78" si="28">(Q77-P77)/P77</f>
        <v>3.1510527657162286E-2</v>
      </c>
      <c r="R78" s="55">
        <f t="shared" ref="R78" si="29">(R77-Q77)/Q77</f>
        <v>3.0727294931585703E-2</v>
      </c>
      <c r="S78" s="55">
        <f t="shared" ref="S78" si="30">(S77-R77)/R77</f>
        <v>2.9993977753589918E-2</v>
      </c>
    </row>
    <row r="79" spans="2:19" x14ac:dyDescent="0.25">
      <c r="L79" s="1"/>
      <c r="M79" s="1"/>
    </row>
    <row r="80" spans="2:19" x14ac:dyDescent="0.25">
      <c r="C80" s="33" t="s">
        <v>71</v>
      </c>
      <c r="G80" s="37" t="s">
        <v>69</v>
      </c>
      <c r="H80" s="1">
        <f>-'2. FY23 P&amp;L'!J14-'2. FY23 P&amp;L'!J13</f>
        <v>-6885</v>
      </c>
      <c r="I80" s="1">
        <f>-'2. FY23 P&amp;L'!I14-'2. FY23 P&amp;L'!I13</f>
        <v>-7841</v>
      </c>
      <c r="J80" s="1">
        <f>-'2. FY23 P&amp;L'!H14-'2. FY23 P&amp;L'!H13</f>
        <v>-6415</v>
      </c>
      <c r="K80" s="1">
        <f>-'2. FY23 P&amp;L'!G14-'2. FY23 P&amp;L'!G13</f>
        <v>-2390</v>
      </c>
      <c r="L80" s="1">
        <f>-'2. FY23 P&amp;L'!F14-'2. FY23 P&amp;L'!F13</f>
        <v>-4176</v>
      </c>
      <c r="M80" s="1">
        <f>-'2. FY23 P&amp;L'!E14-'2. FY23 P&amp;L'!E13</f>
        <v>-8551</v>
      </c>
      <c r="N80" s="56">
        <f>N55</f>
        <v>-8764.4998290325802</v>
      </c>
      <c r="O80" s="56">
        <f>O55</f>
        <v>-9044.5448891011474</v>
      </c>
      <c r="P80" s="56">
        <f>P55</f>
        <v>-9324.5899491697146</v>
      </c>
      <c r="Q80" s="56">
        <f>Q55</f>
        <v>-9604.63500923828</v>
      </c>
      <c r="R80" s="56">
        <f>R55</f>
        <v>-9884.6800693068453</v>
      </c>
      <c r="S80" s="56">
        <f>S55</f>
        <v>-10164.725129375413</v>
      </c>
    </row>
    <row r="81" spans="1:19" x14ac:dyDescent="0.25">
      <c r="C81" s="33" t="s">
        <v>72</v>
      </c>
      <c r="G81" s="37" t="s">
        <v>69</v>
      </c>
      <c r="H81" s="1">
        <f>-'2. FY23 P&amp;L'!J12-SUM('2. FY23 P&amp;L'!J15:J18)</f>
        <v>-8709</v>
      </c>
      <c r="I81" s="1">
        <f>-'2. FY23 P&amp;L'!I12-SUM('2. FY23 P&amp;L'!I15:I18)</f>
        <v>-8675</v>
      </c>
      <c r="J81" s="1">
        <f>-'2. FY23 P&amp;L'!H12-SUM('2. FY23 P&amp;L'!H15:H18)</f>
        <v>-10279</v>
      </c>
      <c r="K81" s="1">
        <f>-'2. FY23 P&amp;L'!G12-SUM('2. FY23 P&amp;L'!G15:G18)</f>
        <v>-5594</v>
      </c>
      <c r="L81" s="1">
        <f>-'2. FY23 P&amp;L'!F12-SUM('2. FY23 P&amp;L'!F15:F18)</f>
        <v>-5822</v>
      </c>
      <c r="M81" s="1">
        <f>-'2. FY23 P&amp;L'!E12-SUM('2. FY23 P&amp;L'!E15:E18)</f>
        <v>-8575</v>
      </c>
      <c r="N81" s="47">
        <f>N58+N66+N68</f>
        <v>-8969.9903246028571</v>
      </c>
      <c r="O81" s="47">
        <f t="shared" ref="O81:S81" si="31">O58+O66+O68</f>
        <v>-9158.1224602598322</v>
      </c>
      <c r="P81" s="47">
        <f t="shared" si="31"/>
        <v>-9336.3663621407213</v>
      </c>
      <c r="Q81" s="47">
        <f t="shared" si="31"/>
        <v>-9509.2368403643486</v>
      </c>
      <c r="R81" s="47">
        <f t="shared" si="31"/>
        <v>-9676.7410561599463</v>
      </c>
      <c r="S81" s="47">
        <f t="shared" si="31"/>
        <v>-9838.8855426583177</v>
      </c>
    </row>
    <row r="82" spans="1:19" x14ac:dyDescent="0.25">
      <c r="L82" s="1"/>
      <c r="M82" s="1"/>
    </row>
    <row r="83" spans="1:19" x14ac:dyDescent="0.25">
      <c r="C83" s="4" t="s">
        <v>73</v>
      </c>
      <c r="D83" s="4"/>
      <c r="E83" s="4"/>
      <c r="F83" s="4"/>
      <c r="G83" s="41" t="s">
        <v>69</v>
      </c>
      <c r="H83" s="42">
        <f>H77+SUM(H80:H81)</f>
        <v>1534</v>
      </c>
      <c r="I83" s="42">
        <f>I77+SUM(I80:I81)</f>
        <v>1450</v>
      </c>
      <c r="J83" s="42">
        <f>J77+SUM(J80:J81)</f>
        <v>-2437</v>
      </c>
      <c r="K83" s="42">
        <f>K77+SUM(K80:K81)</f>
        <v>-2050</v>
      </c>
      <c r="L83" s="42">
        <f>L77+SUM(L80:L81)</f>
        <v>-890</v>
      </c>
      <c r="M83" s="42">
        <f>M77+SUM(M80:M81)</f>
        <v>2689</v>
      </c>
      <c r="N83" s="42">
        <f t="shared" ref="N83:S83" si="32">N77+SUM(N80:N81)</f>
        <v>3040.0608982182021</v>
      </c>
      <c r="O83" s="42">
        <f t="shared" si="32"/>
        <v>3276.0753203936183</v>
      </c>
      <c r="P83" s="42">
        <f t="shared" si="32"/>
        <v>3512.5793909945496</v>
      </c>
      <c r="Q83" s="42">
        <f t="shared" si="32"/>
        <v>3758.3636627069172</v>
      </c>
      <c r="R83" s="42">
        <f t="shared" si="32"/>
        <v>4013.6163131741778</v>
      </c>
      <c r="S83" s="42">
        <f t="shared" si="32"/>
        <v>4278.535915081884</v>
      </c>
    </row>
    <row r="84" spans="1:19" x14ac:dyDescent="0.25">
      <c r="C84" s="45" t="s">
        <v>87</v>
      </c>
      <c r="G84" s="37" t="s">
        <v>88</v>
      </c>
      <c r="H84" s="55">
        <f>H83/H77</f>
        <v>8.9560952825782345E-2</v>
      </c>
      <c r="I84" s="55">
        <f>I83/I77</f>
        <v>8.0708004007569847E-2</v>
      </c>
      <c r="J84" s="55">
        <f>J83/J77</f>
        <v>-0.17093357648874238</v>
      </c>
      <c r="K84" s="55">
        <f>K83/K77</f>
        <v>-0.34546680148297942</v>
      </c>
      <c r="L84" s="55">
        <f>L83/L77</f>
        <v>-9.771629336846728E-2</v>
      </c>
      <c r="M84" s="55">
        <f>M83/M77</f>
        <v>0.13570527378248801</v>
      </c>
      <c r="N84" s="55">
        <f t="shared" ref="N84:S84" si="33">N83/N77</f>
        <v>0.14633581686700028</v>
      </c>
      <c r="O84" s="55">
        <f t="shared" si="33"/>
        <v>0.15252640113831434</v>
      </c>
      <c r="P84" s="55">
        <f t="shared" si="33"/>
        <v>0.15841313889464229</v>
      </c>
      <c r="Q84" s="55">
        <f t="shared" si="33"/>
        <v>0.16431990920538633</v>
      </c>
      <c r="R84" s="55">
        <f t="shared" si="33"/>
        <v>0.17024856582393411</v>
      </c>
      <c r="S84" s="55">
        <f t="shared" si="33"/>
        <v>0.1762008931019354</v>
      </c>
    </row>
    <row r="85" spans="1:19" s="44" customFormat="1" x14ac:dyDescent="0.25">
      <c r="C85" s="45" t="s">
        <v>89</v>
      </c>
      <c r="G85" s="37" t="s">
        <v>88</v>
      </c>
      <c r="H85" s="58"/>
      <c r="I85" s="58">
        <f t="shared" ref="I85:L85" si="34">(I83-H83)/H83</f>
        <v>-5.4758800521512385E-2</v>
      </c>
      <c r="J85" s="58">
        <f t="shared" si="34"/>
        <v>-2.6806896551724138</v>
      </c>
      <c r="K85" s="58">
        <f t="shared" si="34"/>
        <v>-0.15880180549856382</v>
      </c>
      <c r="L85" s="58">
        <f t="shared" si="34"/>
        <v>-0.56585365853658531</v>
      </c>
      <c r="M85" s="58">
        <f>(M83-L83)/L83</f>
        <v>-4.0213483146067412</v>
      </c>
      <c r="N85" s="58">
        <f t="shared" ref="N85:S85" si="35">(N83-M83)/M83</f>
        <v>0.13055444336861363</v>
      </c>
      <c r="O85" s="58">
        <f t="shared" si="35"/>
        <v>7.7634767880388755E-2</v>
      </c>
      <c r="P85" s="58">
        <f t="shared" si="35"/>
        <v>7.2191279952780657E-2</v>
      </c>
      <c r="Q85" s="58">
        <f t="shared" si="35"/>
        <v>6.9972588332808158E-2</v>
      </c>
      <c r="R85" s="58">
        <f t="shared" si="35"/>
        <v>6.7915899943385954E-2</v>
      </c>
      <c r="S85" s="58">
        <f t="shared" si="35"/>
        <v>6.6005213562178783E-2</v>
      </c>
    </row>
    <row r="86" spans="1:19" x14ac:dyDescent="0.25">
      <c r="C86" s="33"/>
      <c r="L86" s="1"/>
      <c r="M86" s="1"/>
    </row>
    <row r="87" spans="1:19" x14ac:dyDescent="0.25">
      <c r="C87" s="33" t="s">
        <v>74</v>
      </c>
      <c r="G87" s="37" t="s">
        <v>69</v>
      </c>
      <c r="H87" s="100">
        <f>H83*$G$14</f>
        <v>-452.66749701449993</v>
      </c>
      <c r="I87" s="100">
        <f t="shared" ref="I87:S87" si="36">I83*$G$14</f>
        <v>-427.87996784291062</v>
      </c>
      <c r="J87" s="100">
        <f t="shared" si="36"/>
        <v>719.13343560908493</v>
      </c>
      <c r="K87" s="100">
        <f t="shared" si="36"/>
        <v>604.93374763997701</v>
      </c>
      <c r="L87" s="100">
        <f t="shared" si="36"/>
        <v>262.62977336564859</v>
      </c>
      <c r="M87" s="100">
        <f t="shared" si="36"/>
        <v>-793.49602312385286</v>
      </c>
      <c r="N87" s="100">
        <f t="shared" si="36"/>
        <v>-897.09045473799597</v>
      </c>
      <c r="O87" s="100">
        <f t="shared" si="36"/>
        <v>-966.73586395929271</v>
      </c>
      <c r="P87" s="100">
        <f t="shared" si="36"/>
        <v>-1036.5257633547712</v>
      </c>
      <c r="Q87" s="100">
        <f t="shared" si="36"/>
        <v>-1109.0541538903444</v>
      </c>
      <c r="R87" s="100">
        <f t="shared" si="36"/>
        <v>-1184.3765648377578</v>
      </c>
      <c r="S87" s="100">
        <f t="shared" si="36"/>
        <v>-1262.5515929379135</v>
      </c>
    </row>
    <row r="88" spans="1:19" x14ac:dyDescent="0.25">
      <c r="L88" s="1"/>
      <c r="M88" s="1"/>
    </row>
    <row r="89" spans="1:19" x14ac:dyDescent="0.25">
      <c r="C89" s="4" t="s">
        <v>75</v>
      </c>
      <c r="D89" s="4"/>
      <c r="E89" s="4"/>
      <c r="F89" s="4"/>
      <c r="G89" s="41" t="s">
        <v>69</v>
      </c>
      <c r="H89" s="42">
        <f t="shared" ref="H89:K89" si="37">H83+H87</f>
        <v>1081.3325029855</v>
      </c>
      <c r="I89" s="42">
        <f t="shared" si="37"/>
        <v>1022.1200321570893</v>
      </c>
      <c r="J89" s="42">
        <f t="shared" si="37"/>
        <v>-1717.8665643909151</v>
      </c>
      <c r="K89" s="42">
        <f t="shared" si="37"/>
        <v>-1445.0662523600231</v>
      </c>
      <c r="L89" s="42">
        <f>L83+L87</f>
        <v>-627.37022663435141</v>
      </c>
      <c r="M89" s="42">
        <f>M83+M87</f>
        <v>1895.5039768761471</v>
      </c>
      <c r="N89" s="42">
        <f t="shared" ref="N89:S89" si="38">N83+N87</f>
        <v>2142.9704434802061</v>
      </c>
      <c r="O89" s="42">
        <f t="shared" si="38"/>
        <v>2309.3394564343257</v>
      </c>
      <c r="P89" s="42">
        <f t="shared" si="38"/>
        <v>2476.0536276397784</v>
      </c>
      <c r="Q89" s="42">
        <f t="shared" si="38"/>
        <v>2649.3095088165728</v>
      </c>
      <c r="R89" s="42">
        <f t="shared" si="38"/>
        <v>2829.2397483364202</v>
      </c>
      <c r="S89" s="42">
        <f t="shared" si="38"/>
        <v>3015.9843221439705</v>
      </c>
    </row>
    <row r="90" spans="1:19" x14ac:dyDescent="0.25">
      <c r="L90" s="1"/>
      <c r="M90" s="1"/>
    </row>
    <row r="91" spans="1:19" x14ac:dyDescent="0.25">
      <c r="C91" t="s">
        <v>76</v>
      </c>
    </row>
    <row r="93" spans="1:19" x14ac:dyDescent="0.25">
      <c r="A93" s="33"/>
      <c r="C93" s="122" t="s">
        <v>206</v>
      </c>
      <c r="G93" s="37" t="s">
        <v>69</v>
      </c>
      <c r="H93" s="56">
        <f>-H66</f>
        <v>1528</v>
      </c>
      <c r="I93" s="56">
        <f t="shared" ref="I93:S93" si="39">-I66</f>
        <v>1665</v>
      </c>
      <c r="J93" s="56">
        <f t="shared" si="39"/>
        <v>2045</v>
      </c>
      <c r="K93" s="56">
        <f t="shared" si="39"/>
        <v>1929</v>
      </c>
      <c r="L93" s="56">
        <f t="shared" si="39"/>
        <v>1801</v>
      </c>
      <c r="M93" s="56">
        <f t="shared" si="39"/>
        <v>1762</v>
      </c>
      <c r="N93" s="56">
        <f t="shared" si="39"/>
        <v>1832.9709462164703</v>
      </c>
      <c r="O93" s="56">
        <f t="shared" si="39"/>
        <v>1882.2475743268151</v>
      </c>
      <c r="P93" s="56">
        <f t="shared" si="39"/>
        <v>1931.5328203121596</v>
      </c>
      <c r="Q93" s="56">
        <f t="shared" si="39"/>
        <v>1980.8267272618793</v>
      </c>
      <c r="R93" s="56">
        <f t="shared" si="39"/>
        <v>2030.1293384807957</v>
      </c>
      <c r="S93" s="56">
        <f t="shared" si="39"/>
        <v>2079.4406974902549</v>
      </c>
    </row>
    <row r="94" spans="1:19" x14ac:dyDescent="0.25">
      <c r="C94" s="33"/>
      <c r="L94" s="1"/>
      <c r="M94" s="1"/>
    </row>
    <row r="95" spans="1:19" x14ac:dyDescent="0.25">
      <c r="C95" s="122" t="s">
        <v>77</v>
      </c>
      <c r="G95" s="37" t="s">
        <v>69</v>
      </c>
      <c r="H95" s="1">
        <f>-'5. Working Capital'!E11</f>
        <v>430</v>
      </c>
      <c r="I95" s="1">
        <f>-'5. Working Capital'!F11</f>
        <v>273</v>
      </c>
      <c r="J95" s="1">
        <f>-'5. Working Capital'!G11</f>
        <v>-1011</v>
      </c>
      <c r="K95" s="1">
        <f>-'5. Working Capital'!H11</f>
        <v>-77</v>
      </c>
      <c r="L95" s="1">
        <f>-'5. Working Capital'!I11</f>
        <v>2734</v>
      </c>
      <c r="M95" s="1">
        <f>-'5. Working Capital'!J11</f>
        <v>1092</v>
      </c>
      <c r="N95" s="47">
        <f>N77*N97</f>
        <v>660.70153308117108</v>
      </c>
      <c r="O95" s="47">
        <f>O77*O97</f>
        <v>683.09722675314379</v>
      </c>
      <c r="P95" s="47">
        <f>P77*P97</f>
        <v>705.19401337608269</v>
      </c>
      <c r="Q95" s="47">
        <f>Q77*Q97</f>
        <v>727.41504883823495</v>
      </c>
      <c r="R95" s="47">
        <f>R77*R97</f>
        <v>749.76654558156122</v>
      </c>
      <c r="S95" s="47">
        <f>S77*S97</f>
        <v>772.25502667012051</v>
      </c>
    </row>
    <row r="96" spans="1:19" x14ac:dyDescent="0.25">
      <c r="A96" s="44"/>
      <c r="B96" s="44"/>
      <c r="C96" s="45" t="s">
        <v>90</v>
      </c>
      <c r="D96" s="44"/>
      <c r="E96" s="44"/>
      <c r="F96" s="44"/>
      <c r="G96" s="37" t="s">
        <v>88</v>
      </c>
      <c r="H96" s="58"/>
      <c r="I96" s="58">
        <f>I95/(I77-H77)</f>
        <v>0.32577565632458233</v>
      </c>
      <c r="J96" s="58">
        <f>J95/(J77-I77)</f>
        <v>0.27258021029927204</v>
      </c>
      <c r="K96" s="58">
        <f>K95/(K77-J77)</f>
        <v>9.2514718250630776E-3</v>
      </c>
      <c r="L96" s="58">
        <f>L95/(L77-K77)</f>
        <v>0.86137366099558921</v>
      </c>
      <c r="M96" s="58">
        <f>M95/(M77-L77)</f>
        <v>0.10198935275987672</v>
      </c>
      <c r="N96" s="44"/>
      <c r="O96" s="44"/>
      <c r="P96" s="44"/>
      <c r="Q96" s="44"/>
      <c r="R96" s="44"/>
      <c r="S96" s="44"/>
    </row>
    <row r="97" spans="1:20" x14ac:dyDescent="0.25">
      <c r="A97" s="44"/>
      <c r="B97" s="44"/>
      <c r="C97" s="45" t="s">
        <v>91</v>
      </c>
      <c r="D97" s="44"/>
      <c r="E97" s="44"/>
      <c r="F97" s="44"/>
      <c r="G97" s="37" t="s">
        <v>88</v>
      </c>
      <c r="H97" s="58">
        <f>H95/H77</f>
        <v>2.5105091078935077E-2</v>
      </c>
      <c r="I97" s="58">
        <f>I95/I77</f>
        <v>1.5195369030390739E-2</v>
      </c>
      <c r="J97" s="58">
        <f>J95/J77</f>
        <v>-7.0912534193729393E-2</v>
      </c>
      <c r="K97" s="58">
        <f>K95/K77</f>
        <v>-1.2976070104482642E-2</v>
      </c>
      <c r="L97" s="58">
        <f>L95/L77</f>
        <v>0.30017566974088711</v>
      </c>
      <c r="M97" s="58">
        <f>M95/M77</f>
        <v>5.5109765329295991E-2</v>
      </c>
      <c r="N97" s="57">
        <f>AVERAGE(H97:I97,M97)</f>
        <v>3.18034084795406E-2</v>
      </c>
      <c r="O97" s="57">
        <f t="shared" ref="O97:S97" si="40">N97</f>
        <v>3.18034084795406E-2</v>
      </c>
      <c r="P97" s="57">
        <f t="shared" si="40"/>
        <v>3.18034084795406E-2</v>
      </c>
      <c r="Q97" s="57">
        <f t="shared" si="40"/>
        <v>3.18034084795406E-2</v>
      </c>
      <c r="R97" s="57">
        <f t="shared" si="40"/>
        <v>3.18034084795406E-2</v>
      </c>
      <c r="S97" s="57">
        <f t="shared" si="40"/>
        <v>3.18034084795406E-2</v>
      </c>
    </row>
    <row r="98" spans="1:20" x14ac:dyDescent="0.25">
      <c r="C98" s="33"/>
      <c r="L98" s="1"/>
      <c r="M98" s="1"/>
    </row>
    <row r="99" spans="1:20" x14ac:dyDescent="0.25">
      <c r="C99" s="122" t="s">
        <v>78</v>
      </c>
      <c r="G99" s="37" t="s">
        <v>69</v>
      </c>
      <c r="H99" s="1">
        <f>SUM('3. FY23 Cash Flow'!J16)+SUM('3. FY23 Cash Flow'!J18:J21)</f>
        <v>-1927</v>
      </c>
      <c r="I99" s="1">
        <f>SUM('3. FY23 Cash Flow'!I16)+SUM('3. FY23 Cash Flow'!I18:I21)</f>
        <v>-1521</v>
      </c>
      <c r="J99" s="1">
        <f>SUM('3. FY23 Cash Flow'!H16)+SUM('3. FY23 Cash Flow'!H18:H21)</f>
        <v>-1523</v>
      </c>
      <c r="K99" s="1">
        <f>SUM('3. FY23 Cash Flow'!G16)+SUM('3. FY23 Cash Flow'!G18:G21)</f>
        <v>-701</v>
      </c>
      <c r="L99" s="1">
        <f>SUM('3. FY23 Cash Flow'!F16)+SUM('3. FY23 Cash Flow'!F18:F21)</f>
        <v>-225</v>
      </c>
      <c r="M99" s="1">
        <f>SUM('3. FY23 Cash Flow'!E16)+SUM('3. FY23 Cash Flow'!E18:E21)</f>
        <v>-2594</v>
      </c>
      <c r="N99" s="47">
        <f>-N77*N100</f>
        <v>-2271.8818961066904</v>
      </c>
      <c r="O99" s="47">
        <f>-O77*O100</f>
        <v>-2348.8915115783334</v>
      </c>
      <c r="P99" s="47">
        <f>-P77*P100</f>
        <v>-2424.8733081645682</v>
      </c>
      <c r="Q99" s="47">
        <f>-Q77*Q100</f>
        <v>-2501.2823456066026</v>
      </c>
      <c r="R99" s="47">
        <f>-R77*R100</f>
        <v>-2578.1399859472253</v>
      </c>
      <c r="S99" s="47">
        <f>-S77*S100</f>
        <v>-2655.4686593313668</v>
      </c>
    </row>
    <row r="100" spans="1:20" x14ac:dyDescent="0.25">
      <c r="A100" s="44"/>
      <c r="B100" s="44"/>
      <c r="C100" s="45" t="s">
        <v>91</v>
      </c>
      <c r="D100" s="44"/>
      <c r="E100" s="44"/>
      <c r="F100" s="44"/>
      <c r="G100" s="37" t="s">
        <v>88</v>
      </c>
      <c r="H100" s="53">
        <f>-H99/H77</f>
        <v>0.11250583839327417</v>
      </c>
      <c r="I100" s="53">
        <f>-I99/I77</f>
        <v>8.4659913169319825E-2</v>
      </c>
      <c r="J100" s="53">
        <f>-J99/J77</f>
        <v>0.10682471768254191</v>
      </c>
      <c r="K100" s="53">
        <f>-K99/K77</f>
        <v>0.11813279406808223</v>
      </c>
      <c r="L100" s="53">
        <f>-L99/L77</f>
        <v>2.4703557312252964E-2</v>
      </c>
      <c r="M100" s="53">
        <f>-M99/M77</f>
        <v>0.13091092606611154</v>
      </c>
      <c r="N100" s="57">
        <f>AVERAGE(H100:I100,M100)</f>
        <v>0.10935889254290183</v>
      </c>
      <c r="O100" s="57">
        <f t="shared" ref="O100:S100" si="41">N100</f>
        <v>0.10935889254290183</v>
      </c>
      <c r="P100" s="57">
        <f t="shared" si="41"/>
        <v>0.10935889254290183</v>
      </c>
      <c r="Q100" s="57">
        <f t="shared" si="41"/>
        <v>0.10935889254290183</v>
      </c>
      <c r="R100" s="57">
        <f t="shared" si="41"/>
        <v>0.10935889254290183</v>
      </c>
      <c r="S100" s="57">
        <f t="shared" si="41"/>
        <v>0.10935889254290183</v>
      </c>
    </row>
    <row r="102" spans="1:20" x14ac:dyDescent="0.25">
      <c r="C102" s="141" t="s">
        <v>208</v>
      </c>
      <c r="D102" s="141"/>
      <c r="E102" s="141"/>
      <c r="F102" s="142"/>
      <c r="G102" s="142" t="s">
        <v>69</v>
      </c>
      <c r="H102" s="143">
        <f>H89+H93+H95+H99</f>
        <v>1112.3325029855</v>
      </c>
      <c r="I102" s="143">
        <f t="shared" ref="I102:S102" si="42">I89+I93+I95+I99</f>
        <v>1439.1200321570896</v>
      </c>
      <c r="J102" s="143">
        <f t="shared" si="42"/>
        <v>-2206.8665643909153</v>
      </c>
      <c r="K102" s="143">
        <f t="shared" si="42"/>
        <v>-294.0662523600231</v>
      </c>
      <c r="L102" s="143">
        <f t="shared" si="42"/>
        <v>3682.6297733656484</v>
      </c>
      <c r="M102" s="143">
        <f t="shared" si="42"/>
        <v>2155.5039768761471</v>
      </c>
      <c r="N102" s="143">
        <f t="shared" si="42"/>
        <v>2364.7610266711567</v>
      </c>
      <c r="O102" s="143">
        <f t="shared" si="42"/>
        <v>2525.7927459359503</v>
      </c>
      <c r="P102" s="143">
        <f t="shared" si="42"/>
        <v>2687.9071531634522</v>
      </c>
      <c r="Q102" s="143">
        <f t="shared" si="42"/>
        <v>2856.2689393100845</v>
      </c>
      <c r="R102" s="143">
        <f t="shared" si="42"/>
        <v>3030.9956464515521</v>
      </c>
      <c r="S102" s="143">
        <f t="shared" si="42"/>
        <v>3212.2113869729787</v>
      </c>
    </row>
    <row r="103" spans="1:20" x14ac:dyDescent="0.25">
      <c r="C103" s="123" t="s">
        <v>209</v>
      </c>
      <c r="D103" s="64"/>
      <c r="E103" s="64"/>
      <c r="F103" s="66"/>
      <c r="G103" s="66" t="s">
        <v>88</v>
      </c>
      <c r="H103" s="95"/>
      <c r="I103" s="95">
        <f>I102/H102-1</f>
        <v>0.29378583138988734</v>
      </c>
      <c r="J103" s="95">
        <f t="shared" ref="J103:S103" si="43">J102/I102-1</f>
        <v>-2.5334833197221602</v>
      </c>
      <c r="K103" s="95">
        <f t="shared" si="43"/>
        <v>-0.86674941878908573</v>
      </c>
      <c r="L103" s="95">
        <f t="shared" si="43"/>
        <v>-13.523129545844766</v>
      </c>
      <c r="M103" s="95">
        <f t="shared" si="43"/>
        <v>-0.4146834980628048</v>
      </c>
      <c r="N103" s="95">
        <f t="shared" si="43"/>
        <v>9.7080335754367031E-2</v>
      </c>
      <c r="O103" s="95">
        <f t="shared" si="43"/>
        <v>6.8096402743695217E-2</v>
      </c>
      <c r="P103" s="95">
        <f t="shared" si="43"/>
        <v>6.4183574637446839E-2</v>
      </c>
      <c r="Q103" s="95">
        <f t="shared" si="43"/>
        <v>6.2636756611359923E-2</v>
      </c>
      <c r="R103" s="95">
        <f t="shared" si="43"/>
        <v>6.1173058578885664E-2</v>
      </c>
      <c r="S103" s="95">
        <f t="shared" si="43"/>
        <v>5.9787529135378215E-2</v>
      </c>
      <c r="T103" s="44"/>
    </row>
    <row r="104" spans="1:20" s="44" customFormat="1" x14ac:dyDescent="0.25">
      <c r="A104"/>
      <c r="B10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/>
    </row>
    <row r="105" spans="1:20" x14ac:dyDescent="0.25">
      <c r="C105" s="132" t="s">
        <v>210</v>
      </c>
      <c r="D105" s="132"/>
      <c r="E105" s="132"/>
      <c r="F105" s="133"/>
      <c r="G105" s="133" t="s">
        <v>69</v>
      </c>
      <c r="H105" s="134">
        <f>H83+H93</f>
        <v>3062</v>
      </c>
      <c r="I105" s="134">
        <f t="shared" ref="I105:S105" si="44">I83+I93</f>
        <v>3115</v>
      </c>
      <c r="J105" s="134">
        <f t="shared" si="44"/>
        <v>-392</v>
      </c>
      <c r="K105" s="134">
        <f t="shared" si="44"/>
        <v>-121</v>
      </c>
      <c r="L105" s="134">
        <f t="shared" si="44"/>
        <v>911</v>
      </c>
      <c r="M105" s="134">
        <f t="shared" si="44"/>
        <v>4451</v>
      </c>
      <c r="N105" s="134">
        <f t="shared" si="44"/>
        <v>4873.0318444346722</v>
      </c>
      <c r="O105" s="134">
        <f t="shared" si="44"/>
        <v>5158.3228947204334</v>
      </c>
      <c r="P105" s="134">
        <f t="shared" si="44"/>
        <v>5444.1122113067095</v>
      </c>
      <c r="Q105" s="134">
        <f t="shared" si="44"/>
        <v>5739.1903899687968</v>
      </c>
      <c r="R105" s="134">
        <f t="shared" si="44"/>
        <v>6043.7456516549737</v>
      </c>
      <c r="S105" s="134">
        <f t="shared" si="44"/>
        <v>6357.9766125721389</v>
      </c>
    </row>
    <row r="106" spans="1:20" x14ac:dyDescent="0.25">
      <c r="C106" s="123" t="s">
        <v>209</v>
      </c>
      <c r="D106" s="64"/>
      <c r="E106" s="64"/>
      <c r="F106" s="66"/>
      <c r="G106" s="66" t="s">
        <v>88</v>
      </c>
      <c r="H106" s="95"/>
      <c r="I106" s="95">
        <f t="shared" ref="I106" si="45">I105/H105-1</f>
        <v>1.7308948399738844E-2</v>
      </c>
      <c r="J106" s="95">
        <f t="shared" ref="J106" si="46">J105/I105-1</f>
        <v>-1.1258426966292134</v>
      </c>
      <c r="K106" s="95">
        <f t="shared" ref="K106" si="47">K105/J105-1</f>
        <v>-0.69132653061224492</v>
      </c>
      <c r="L106" s="95">
        <f t="shared" ref="L106" si="48">L105/K105-1</f>
        <v>-8.5289256198347108</v>
      </c>
      <c r="M106" s="95">
        <f t="shared" ref="M106" si="49">M105/L105-1</f>
        <v>3.8858397365532378</v>
      </c>
      <c r="N106" s="95">
        <f t="shared" ref="N106" si="50">N105/M105-1</f>
        <v>9.4817309466338484E-2</v>
      </c>
      <c r="O106" s="95">
        <f t="shared" ref="O106" si="51">O105/N105-1</f>
        <v>5.8544877069002244E-2</v>
      </c>
      <c r="P106" s="95">
        <f t="shared" ref="P106" si="52">P105/O105-1</f>
        <v>5.5403533749076139E-2</v>
      </c>
      <c r="Q106" s="95">
        <f t="shared" ref="Q106" si="53">Q105/P105-1</f>
        <v>5.420134031206203E-2</v>
      </c>
      <c r="R106" s="95">
        <f t="shared" ref="R106" si="54">R105/Q105-1</f>
        <v>5.3065892746560817E-2</v>
      </c>
      <c r="S106" s="95">
        <f t="shared" ref="S106" si="55">S105/R105-1</f>
        <v>5.1992750692795742E-2</v>
      </c>
    </row>
    <row r="122" spans="20:27" x14ac:dyDescent="0.25">
      <c r="T122" s="44"/>
      <c r="U122" s="44"/>
      <c r="V122" s="44"/>
      <c r="W122" s="44"/>
      <c r="X122" s="44"/>
      <c r="Y122" s="44"/>
      <c r="Z122" s="44"/>
      <c r="AA122" s="4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435C9-34F6-7F45-A59A-BE4F04272BA8}">
  <dimension ref="B1:J44"/>
  <sheetViews>
    <sheetView showGridLines="0" topLeftCell="C1" workbookViewId="0">
      <selection activeCell="C40" sqref="C40"/>
    </sheetView>
  </sheetViews>
  <sheetFormatPr defaultColWidth="10.8515625" defaultRowHeight="16.5" x14ac:dyDescent="0.25"/>
  <cols>
    <col min="1" max="1" width="4.4375" customWidth="1"/>
    <col min="2" max="2" width="15.78125" customWidth="1"/>
    <col min="3" max="3" width="55.3671875" customWidth="1"/>
    <col min="4" max="4" width="10.8515625" style="3"/>
  </cols>
  <sheetData>
    <row r="1" spans="2:10" ht="21" x14ac:dyDescent="0.3">
      <c r="B1" s="147" t="s">
        <v>244</v>
      </c>
    </row>
    <row r="3" spans="2:10" x14ac:dyDescent="0.25">
      <c r="E3" s="25">
        <v>2023</v>
      </c>
      <c r="F3" s="25">
        <v>2022</v>
      </c>
      <c r="G3" s="25">
        <v>2021</v>
      </c>
      <c r="H3" s="25">
        <v>2020</v>
      </c>
      <c r="I3" s="25">
        <v>2019</v>
      </c>
      <c r="J3" s="25">
        <v>2018</v>
      </c>
    </row>
    <row r="4" spans="2:10" x14ac:dyDescent="0.25">
      <c r="D4" s="3" t="s">
        <v>27</v>
      </c>
      <c r="E4" s="25" t="s">
        <v>28</v>
      </c>
      <c r="F4" s="25" t="s">
        <v>28</v>
      </c>
      <c r="G4" s="25" t="s">
        <v>28</v>
      </c>
      <c r="H4" s="25" t="s">
        <v>28</v>
      </c>
      <c r="I4" s="25" t="s">
        <v>28</v>
      </c>
      <c r="J4" s="25" t="s">
        <v>28</v>
      </c>
    </row>
    <row r="5" spans="2:10" x14ac:dyDescent="0.25">
      <c r="B5" s="23" t="s">
        <v>0</v>
      </c>
      <c r="C5" s="23"/>
      <c r="D5" s="24"/>
      <c r="E5" s="23"/>
      <c r="F5" s="23"/>
      <c r="G5" s="23"/>
      <c r="H5" s="23"/>
      <c r="I5" s="23"/>
      <c r="J5" s="23"/>
    </row>
    <row r="6" spans="2:10" x14ac:dyDescent="0.25">
      <c r="B6" t="s">
        <v>1</v>
      </c>
      <c r="E6" s="43">
        <v>16923</v>
      </c>
      <c r="F6" s="43">
        <v>5951</v>
      </c>
      <c r="G6" s="43">
        <v>3766</v>
      </c>
      <c r="H6" s="43">
        <v>12183</v>
      </c>
      <c r="I6" s="43">
        <v>15696</v>
      </c>
      <c r="J6" s="43">
        <v>14944</v>
      </c>
    </row>
    <row r="7" spans="2:10" x14ac:dyDescent="0.25">
      <c r="B7" t="s">
        <v>2</v>
      </c>
      <c r="E7" s="43">
        <v>1380</v>
      </c>
      <c r="F7" s="43">
        <v>1963</v>
      </c>
      <c r="G7" s="43">
        <v>1316</v>
      </c>
      <c r="H7" s="43">
        <v>1045</v>
      </c>
      <c r="I7" s="43">
        <v>971</v>
      </c>
      <c r="J7" s="43">
        <v>895</v>
      </c>
    </row>
    <row r="8" spans="2:10" x14ac:dyDescent="0.25">
      <c r="B8" t="s">
        <v>3</v>
      </c>
      <c r="D8" s="3" t="s">
        <v>29</v>
      </c>
      <c r="E8" s="43">
        <v>1512</v>
      </c>
      <c r="F8" s="43">
        <v>1194</v>
      </c>
      <c r="G8" s="43">
        <v>852</v>
      </c>
      <c r="H8" s="43">
        <v>1029</v>
      </c>
      <c r="I8" s="43">
        <v>1299</v>
      </c>
      <c r="J8" s="43">
        <v>1289</v>
      </c>
    </row>
    <row r="9" spans="2:10" x14ac:dyDescent="0.25">
      <c r="B9" s="16" t="s">
        <v>4</v>
      </c>
      <c r="C9" s="16"/>
      <c r="D9" s="17"/>
      <c r="E9" s="52">
        <f>SUM(E6:E8)</f>
        <v>19815</v>
      </c>
      <c r="F9" s="52">
        <f>SUM(F6:F8)</f>
        <v>9108</v>
      </c>
      <c r="G9" s="52">
        <f t="shared" ref="G9:J9" si="0">SUM(G6:G8)</f>
        <v>5934</v>
      </c>
      <c r="H9" s="52">
        <f t="shared" si="0"/>
        <v>14257</v>
      </c>
      <c r="I9" s="52">
        <f t="shared" si="0"/>
        <v>17966</v>
      </c>
      <c r="J9" s="52">
        <f t="shared" si="0"/>
        <v>17128</v>
      </c>
    </row>
    <row r="10" spans="2:10" x14ac:dyDescent="0.25">
      <c r="E10" s="1"/>
      <c r="F10" s="1"/>
      <c r="G10" s="1"/>
      <c r="H10" s="1"/>
      <c r="I10" s="1"/>
      <c r="J10" s="1"/>
    </row>
    <row r="11" spans="2:10" x14ac:dyDescent="0.25">
      <c r="B11" s="19" t="s">
        <v>5</v>
      </c>
      <c r="C11" s="19"/>
      <c r="D11" s="20"/>
      <c r="E11" s="115"/>
      <c r="F11" s="115"/>
      <c r="G11" s="115"/>
      <c r="H11" s="115"/>
      <c r="I11" s="115"/>
      <c r="J11" s="115"/>
    </row>
    <row r="12" spans="2:10" x14ac:dyDescent="0.25">
      <c r="B12" t="s">
        <v>6</v>
      </c>
      <c r="E12" s="43">
        <v>4261</v>
      </c>
      <c r="F12" s="43">
        <v>3024</v>
      </c>
      <c r="G12" s="43">
        <v>1970</v>
      </c>
      <c r="H12" s="43">
        <v>3646</v>
      </c>
      <c r="I12" s="43">
        <v>4268</v>
      </c>
      <c r="J12" s="43">
        <v>4291</v>
      </c>
    </row>
    <row r="13" spans="2:10" x14ac:dyDescent="0.25">
      <c r="B13" t="s">
        <v>7</v>
      </c>
      <c r="E13" s="43">
        <v>3996</v>
      </c>
      <c r="F13" s="43">
        <v>2328</v>
      </c>
      <c r="G13" s="43">
        <v>1555</v>
      </c>
      <c r="H13" s="43">
        <v>3520</v>
      </c>
      <c r="I13" s="43">
        <v>3995</v>
      </c>
      <c r="J13" s="43">
        <v>3653</v>
      </c>
    </row>
    <row r="14" spans="2:10" x14ac:dyDescent="0.25">
      <c r="B14" t="s">
        <v>8</v>
      </c>
      <c r="E14" s="43">
        <v>4555</v>
      </c>
      <c r="F14" s="43">
        <v>1848</v>
      </c>
      <c r="G14" s="43">
        <v>835</v>
      </c>
      <c r="H14" s="43">
        <v>2895</v>
      </c>
      <c r="I14" s="43">
        <v>3846</v>
      </c>
      <c r="J14" s="43">
        <v>3232</v>
      </c>
    </row>
    <row r="15" spans="2:10" x14ac:dyDescent="0.25">
      <c r="B15" t="s">
        <v>9</v>
      </c>
      <c r="D15" s="3">
        <v>5</v>
      </c>
      <c r="E15" s="43">
        <v>1762</v>
      </c>
      <c r="F15" s="43">
        <v>1801</v>
      </c>
      <c r="G15" s="43">
        <v>1929</v>
      </c>
      <c r="H15" s="43">
        <v>2045</v>
      </c>
      <c r="I15" s="43">
        <v>1665</v>
      </c>
      <c r="J15" s="43">
        <v>1528</v>
      </c>
    </row>
    <row r="16" spans="2:10" x14ac:dyDescent="0.25">
      <c r="B16" t="s">
        <v>10</v>
      </c>
      <c r="E16" s="43">
        <v>44</v>
      </c>
      <c r="F16" s="43">
        <v>126</v>
      </c>
      <c r="G16" s="43">
        <v>129</v>
      </c>
      <c r="H16" s="43">
        <v>53</v>
      </c>
      <c r="I16" s="43">
        <v>-22</v>
      </c>
      <c r="J16" s="43">
        <v>-15</v>
      </c>
    </row>
    <row r="17" spans="2:10" x14ac:dyDescent="0.25">
      <c r="B17" t="s">
        <v>11</v>
      </c>
      <c r="E17" s="43">
        <v>-4</v>
      </c>
      <c r="F17" s="43">
        <v>-692</v>
      </c>
      <c r="G17" s="43">
        <v>-26</v>
      </c>
      <c r="H17" s="43">
        <v>-7</v>
      </c>
      <c r="I17" s="43">
        <v>0</v>
      </c>
      <c r="J17" s="43">
        <v>0</v>
      </c>
    </row>
    <row r="18" spans="2:10" x14ac:dyDescent="0.25">
      <c r="B18" t="s">
        <v>12</v>
      </c>
      <c r="D18" s="3">
        <v>6</v>
      </c>
      <c r="E18" s="43">
        <v>2512</v>
      </c>
      <c r="F18" s="43">
        <v>1563</v>
      </c>
      <c r="G18" s="43">
        <f>270+297+1058-33</f>
        <v>1592</v>
      </c>
      <c r="H18" s="43">
        <f>1456+571+565+1950</f>
        <v>4542</v>
      </c>
      <c r="I18" s="43">
        <f>2500+264</f>
        <v>2764</v>
      </c>
      <c r="J18" s="43">
        <f>272+2633</f>
        <v>2905</v>
      </c>
    </row>
    <row r="19" spans="2:10" x14ac:dyDescent="0.25">
      <c r="B19" s="5" t="s">
        <v>13</v>
      </c>
      <c r="C19" s="5"/>
      <c r="D19" s="6"/>
      <c r="E19" s="116">
        <f>SUM(E12:E18)</f>
        <v>17126</v>
      </c>
      <c r="F19" s="116">
        <f>SUM(F12:F18)</f>
        <v>9998</v>
      </c>
      <c r="G19" s="116">
        <f t="shared" ref="G19:J19" si="1">SUM(G12:G18)</f>
        <v>7984</v>
      </c>
      <c r="H19" s="116">
        <f t="shared" si="1"/>
        <v>16694</v>
      </c>
      <c r="I19" s="116">
        <f t="shared" si="1"/>
        <v>16516</v>
      </c>
      <c r="J19" s="116">
        <f t="shared" si="1"/>
        <v>15594</v>
      </c>
    </row>
    <row r="20" spans="2:10" x14ac:dyDescent="0.25">
      <c r="B20" s="5" t="s">
        <v>14</v>
      </c>
      <c r="C20" s="5"/>
      <c r="D20" s="6"/>
      <c r="E20" s="116">
        <f>E9-E19</f>
        <v>2689</v>
      </c>
      <c r="F20" s="116">
        <f>F9-F19</f>
        <v>-890</v>
      </c>
      <c r="G20" s="116">
        <f t="shared" ref="G20:J20" si="2">G9-G19</f>
        <v>-2050</v>
      </c>
      <c r="H20" s="116">
        <f t="shared" si="2"/>
        <v>-2437</v>
      </c>
      <c r="I20" s="116">
        <f t="shared" si="2"/>
        <v>1450</v>
      </c>
      <c r="J20" s="116">
        <f t="shared" si="2"/>
        <v>1534</v>
      </c>
    </row>
    <row r="21" spans="2:10" x14ac:dyDescent="0.25">
      <c r="B21" t="s">
        <v>15</v>
      </c>
      <c r="E21" s="43">
        <v>138</v>
      </c>
      <c r="F21" s="43">
        <v>17</v>
      </c>
      <c r="G21" s="43">
        <v>20</v>
      </c>
      <c r="H21" s="43">
        <v>33</v>
      </c>
      <c r="I21" s="43">
        <v>47</v>
      </c>
      <c r="J21" s="43">
        <v>48</v>
      </c>
    </row>
    <row r="22" spans="2:10" x14ac:dyDescent="0.25">
      <c r="B22" t="s">
        <v>16</v>
      </c>
      <c r="E22" s="43">
        <v>-355</v>
      </c>
      <c r="F22" s="43">
        <v>-318</v>
      </c>
      <c r="G22" s="43">
        <v>-321</v>
      </c>
      <c r="H22" s="43">
        <v>-304</v>
      </c>
      <c r="I22" s="43">
        <v>-232</v>
      </c>
      <c r="J22" s="43">
        <v>-230</v>
      </c>
    </row>
    <row r="23" spans="2:10" x14ac:dyDescent="0.25">
      <c r="B23" s="14" t="s">
        <v>17</v>
      </c>
      <c r="C23" s="14"/>
      <c r="D23" s="15"/>
      <c r="E23" s="117">
        <f>SUM(E21:E22)</f>
        <v>-217</v>
      </c>
      <c r="F23" s="117">
        <f>SUM(F21:F22)</f>
        <v>-301</v>
      </c>
      <c r="G23" s="117">
        <f t="shared" ref="G23:J23" si="3">SUM(G21:G22)</f>
        <v>-301</v>
      </c>
      <c r="H23" s="117">
        <f t="shared" si="3"/>
        <v>-271</v>
      </c>
      <c r="I23" s="117">
        <f t="shared" si="3"/>
        <v>-185</v>
      </c>
      <c r="J23" s="117">
        <f t="shared" si="3"/>
        <v>-182</v>
      </c>
    </row>
    <row r="24" spans="2:10" x14ac:dyDescent="0.25">
      <c r="B24" s="11" t="s">
        <v>18</v>
      </c>
      <c r="C24" s="11"/>
      <c r="D24" s="12"/>
      <c r="E24" s="28">
        <f>E20+E23</f>
        <v>2472</v>
      </c>
      <c r="F24" s="28">
        <f>F20+F23</f>
        <v>-1191</v>
      </c>
      <c r="G24" s="28">
        <f t="shared" ref="G24:J24" si="4">G20+G23</f>
        <v>-2351</v>
      </c>
      <c r="H24" s="28">
        <f t="shared" si="4"/>
        <v>-2708</v>
      </c>
      <c r="I24" s="28">
        <f t="shared" si="4"/>
        <v>1265</v>
      </c>
      <c r="J24" s="28">
        <f t="shared" si="4"/>
        <v>1352</v>
      </c>
    </row>
    <row r="25" spans="2:10" x14ac:dyDescent="0.25">
      <c r="B25" t="s">
        <v>19</v>
      </c>
      <c r="D25" s="3">
        <v>7</v>
      </c>
      <c r="E25" s="43">
        <v>-728</v>
      </c>
      <c r="F25" s="43">
        <v>331</v>
      </c>
      <c r="G25" s="43">
        <v>623</v>
      </c>
      <c r="H25" s="43">
        <v>744</v>
      </c>
      <c r="I25" s="43">
        <v>-374</v>
      </c>
      <c r="J25" s="43">
        <v>-399</v>
      </c>
    </row>
    <row r="26" spans="2:10" x14ac:dyDescent="0.25">
      <c r="B26" s="11" t="s">
        <v>20</v>
      </c>
      <c r="C26" s="11"/>
      <c r="D26" s="12"/>
      <c r="E26" s="28">
        <f>E24+E25</f>
        <v>1744</v>
      </c>
      <c r="F26" s="28">
        <f>F24+F25</f>
        <v>-860</v>
      </c>
      <c r="G26" s="28">
        <f t="shared" ref="G26:J26" si="5">G24+G25</f>
        <v>-1728</v>
      </c>
      <c r="H26" s="28">
        <f t="shared" si="5"/>
        <v>-1964</v>
      </c>
      <c r="I26" s="28">
        <f t="shared" si="5"/>
        <v>891</v>
      </c>
      <c r="J26" s="28">
        <f t="shared" si="5"/>
        <v>953</v>
      </c>
    </row>
    <row r="27" spans="2:10" x14ac:dyDescent="0.25">
      <c r="E27" s="1"/>
      <c r="F27" s="1"/>
      <c r="G27" s="1"/>
      <c r="H27" s="1"/>
      <c r="I27" s="1"/>
      <c r="J27" s="1"/>
    </row>
    <row r="28" spans="2:10" x14ac:dyDescent="0.25">
      <c r="B28" s="4" t="s">
        <v>21</v>
      </c>
      <c r="C28" s="4"/>
      <c r="E28" s="1"/>
      <c r="F28" s="1"/>
      <c r="G28" s="1"/>
      <c r="H28" s="1"/>
      <c r="I28" s="1"/>
      <c r="J28" s="1"/>
    </row>
    <row r="29" spans="2:10" x14ac:dyDescent="0.25">
      <c r="B29" s="7" t="s">
        <v>22</v>
      </c>
      <c r="C29" s="7"/>
      <c r="D29" s="8"/>
      <c r="E29" s="118">
        <v>1746</v>
      </c>
      <c r="F29" s="118">
        <v>-860</v>
      </c>
      <c r="G29" s="118">
        <v>-1728</v>
      </c>
      <c r="H29" s="118">
        <v>-1964</v>
      </c>
      <c r="I29" s="118">
        <v>891</v>
      </c>
      <c r="J29" s="118">
        <v>953</v>
      </c>
    </row>
    <row r="30" spans="2:10" x14ac:dyDescent="0.25">
      <c r="B30" s="9" t="s">
        <v>23</v>
      </c>
      <c r="C30" s="9"/>
      <c r="D30" s="10"/>
      <c r="E30" s="63">
        <v>-2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</row>
    <row r="31" spans="2:10" x14ac:dyDescent="0.25">
      <c r="B31" s="11" t="s">
        <v>20</v>
      </c>
      <c r="C31" s="11"/>
      <c r="D31" s="12"/>
      <c r="E31" s="28">
        <f>SUM(E29:E30)</f>
        <v>1744</v>
      </c>
      <c r="F31" s="28">
        <f>SUM(F29:F30)</f>
        <v>-860</v>
      </c>
      <c r="G31" s="28">
        <f t="shared" ref="G31:J31" si="6">SUM(G29:G30)</f>
        <v>-1728</v>
      </c>
      <c r="H31" s="28">
        <f t="shared" si="6"/>
        <v>-1964</v>
      </c>
      <c r="I31" s="28">
        <f t="shared" si="6"/>
        <v>891</v>
      </c>
      <c r="J31" s="28">
        <f t="shared" si="6"/>
        <v>953</v>
      </c>
    </row>
    <row r="32" spans="2:10" x14ac:dyDescent="0.25">
      <c r="E32" s="1"/>
      <c r="F32" s="1"/>
      <c r="G32" s="1"/>
      <c r="H32" s="1"/>
      <c r="I32" s="1"/>
      <c r="J32" s="1"/>
    </row>
    <row r="33" spans="2:10" x14ac:dyDescent="0.25">
      <c r="B33" s="4" t="s">
        <v>24</v>
      </c>
      <c r="C33" s="4"/>
      <c r="E33" s="1"/>
      <c r="F33" s="1"/>
      <c r="G33" s="1"/>
      <c r="H33" s="1"/>
      <c r="I33" s="1"/>
      <c r="J33" s="1"/>
    </row>
    <row r="34" spans="2:10" x14ac:dyDescent="0.25">
      <c r="B34" s="21" t="s">
        <v>25</v>
      </c>
      <c r="C34" s="21"/>
      <c r="D34" s="22">
        <v>3</v>
      </c>
      <c r="E34" s="119">
        <v>96</v>
      </c>
      <c r="F34" s="119">
        <v>-45.6</v>
      </c>
      <c r="G34" s="119">
        <v>-91.8</v>
      </c>
      <c r="H34" s="119">
        <v>-129.6</v>
      </c>
      <c r="I34" s="119">
        <v>54.6</v>
      </c>
      <c r="J34" s="119">
        <v>54.4</v>
      </c>
    </row>
    <row r="35" spans="2:10" x14ac:dyDescent="0.25">
      <c r="B35" s="26" t="s">
        <v>26</v>
      </c>
      <c r="C35" s="26"/>
      <c r="D35" s="27">
        <v>3</v>
      </c>
      <c r="E35" s="120">
        <v>93</v>
      </c>
      <c r="F35" s="120">
        <v>-45.6</v>
      </c>
      <c r="G35" s="120">
        <v>-91.8</v>
      </c>
      <c r="H35" s="120">
        <v>-129.6</v>
      </c>
      <c r="I35" s="120">
        <v>54.4</v>
      </c>
      <c r="J35" s="120">
        <v>54</v>
      </c>
    </row>
    <row r="37" spans="2:10" x14ac:dyDescent="0.25">
      <c r="B37" s="101" t="s">
        <v>172</v>
      </c>
    </row>
    <row r="38" spans="2:10" x14ac:dyDescent="0.25">
      <c r="B38" s="104" t="s">
        <v>173</v>
      </c>
      <c r="C38" s="102" t="s">
        <v>174</v>
      </c>
    </row>
    <row r="39" spans="2:10" x14ac:dyDescent="0.25">
      <c r="B39" s="104" t="s">
        <v>175</v>
      </c>
      <c r="C39" s="102" t="s">
        <v>177</v>
      </c>
    </row>
    <row r="40" spans="2:10" x14ac:dyDescent="0.25">
      <c r="B40" s="104" t="s">
        <v>176</v>
      </c>
      <c r="C40" s="103" t="s">
        <v>178</v>
      </c>
    </row>
    <row r="41" spans="2:10" x14ac:dyDescent="0.25">
      <c r="B41" s="101"/>
    </row>
    <row r="42" spans="2:10" x14ac:dyDescent="0.25">
      <c r="B42" s="101"/>
    </row>
    <row r="43" spans="2:10" x14ac:dyDescent="0.25">
      <c r="B43" s="101"/>
    </row>
    <row r="44" spans="2:10" x14ac:dyDescent="0.25">
      <c r="B44" s="101"/>
    </row>
  </sheetData>
  <phoneticPr fontId="11" type="noConversion"/>
  <hyperlinks>
    <hyperlink ref="C38" r:id="rId1" xr:uid="{DBEA50DD-3D41-2C4F-96C7-451051C326F5}"/>
    <hyperlink ref="C39" r:id="rId2" xr:uid="{2D7CE748-43BE-1742-BEEF-50C4EAF0F8EA}"/>
    <hyperlink ref="C40" r:id="rId3" xr:uid="{109D8444-1E63-E34F-A2FA-2FC3E830BE7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0AE71-E304-574E-AE09-B153E31DB344}">
  <dimension ref="B1:J42"/>
  <sheetViews>
    <sheetView showGridLines="0" workbookViewId="0">
      <selection activeCell="B1" sqref="B1"/>
    </sheetView>
  </sheetViews>
  <sheetFormatPr defaultColWidth="10.8515625" defaultRowHeight="16.5" x14ac:dyDescent="0.25"/>
  <cols>
    <col min="1" max="1" width="4.3125" customWidth="1"/>
    <col min="2" max="2" width="15.78125" customWidth="1"/>
    <col min="3" max="3" width="72.62890625" customWidth="1"/>
    <col min="4" max="4" width="10.8515625" style="3"/>
    <col min="5" max="5" width="11.21875" bestFit="1" customWidth="1"/>
    <col min="6" max="6" width="10.97265625" bestFit="1" customWidth="1"/>
  </cols>
  <sheetData>
    <row r="1" spans="2:10" ht="21" x14ac:dyDescent="0.3">
      <c r="B1" s="147" t="s">
        <v>245</v>
      </c>
    </row>
    <row r="3" spans="2:10" x14ac:dyDescent="0.25">
      <c r="E3" s="25">
        <v>2023</v>
      </c>
      <c r="F3" s="25">
        <v>2022</v>
      </c>
      <c r="G3" s="25">
        <v>2021</v>
      </c>
      <c r="H3" s="25">
        <v>2020</v>
      </c>
      <c r="I3" s="25">
        <v>2019</v>
      </c>
      <c r="J3" s="25">
        <v>2018</v>
      </c>
    </row>
    <row r="4" spans="2:10" x14ac:dyDescent="0.25">
      <c r="D4" s="3" t="s">
        <v>27</v>
      </c>
      <c r="E4" s="25" t="s">
        <v>28</v>
      </c>
      <c r="F4" s="25" t="s">
        <v>28</v>
      </c>
      <c r="G4" s="25" t="s">
        <v>28</v>
      </c>
      <c r="H4" s="25" t="s">
        <v>28</v>
      </c>
      <c r="I4" s="25" t="s">
        <v>28</v>
      </c>
      <c r="J4" s="25" t="s">
        <v>28</v>
      </c>
    </row>
    <row r="5" spans="2:10" x14ac:dyDescent="0.25">
      <c r="B5" s="23" t="s">
        <v>30</v>
      </c>
      <c r="C5" s="23"/>
      <c r="D5" s="24"/>
      <c r="E5" s="23"/>
      <c r="F5" s="23"/>
      <c r="G5" s="23"/>
      <c r="H5" s="23"/>
      <c r="I5" s="23"/>
      <c r="J5" s="23"/>
    </row>
    <row r="6" spans="2:10" x14ac:dyDescent="0.25">
      <c r="B6" t="s">
        <v>57</v>
      </c>
      <c r="E6" s="114">
        <v>21555</v>
      </c>
      <c r="F6" s="114">
        <v>12236</v>
      </c>
      <c r="G6" s="114">
        <v>7507</v>
      </c>
      <c r="H6" s="114">
        <v>14460</v>
      </c>
      <c r="I6" s="114">
        <v>19050</v>
      </c>
      <c r="J6" s="114">
        <v>18107</v>
      </c>
    </row>
    <row r="7" spans="2:10" x14ac:dyDescent="0.25">
      <c r="B7" t="s">
        <v>31</v>
      </c>
      <c r="E7" s="114">
        <v>-16356</v>
      </c>
      <c r="F7" s="114">
        <v>-9326</v>
      </c>
      <c r="G7" s="114">
        <v>-6726</v>
      </c>
      <c r="H7" s="114">
        <v>-12870</v>
      </c>
      <c r="I7" s="114">
        <v>-15876</v>
      </c>
      <c r="J7" s="114">
        <v>-14461</v>
      </c>
    </row>
    <row r="8" spans="2:10" x14ac:dyDescent="0.25">
      <c r="B8" t="s">
        <v>32</v>
      </c>
      <c r="E8" s="114">
        <v>128</v>
      </c>
      <c r="F8" s="114">
        <v>13</v>
      </c>
      <c r="G8" s="114">
        <v>15</v>
      </c>
      <c r="H8" s="114">
        <v>29</v>
      </c>
      <c r="I8" s="114">
        <v>41</v>
      </c>
      <c r="J8" s="114">
        <v>41</v>
      </c>
    </row>
    <row r="9" spans="2:10" x14ac:dyDescent="0.25">
      <c r="B9" t="s">
        <v>33</v>
      </c>
      <c r="E9" s="114">
        <v>-186</v>
      </c>
      <c r="F9" s="114">
        <v>-186</v>
      </c>
      <c r="G9" s="114">
        <v>-183</v>
      </c>
      <c r="H9" s="114">
        <v>-146</v>
      </c>
      <c r="I9" s="114">
        <v>-168</v>
      </c>
      <c r="J9" s="114">
        <v>-161</v>
      </c>
    </row>
    <row r="10" spans="2:10" x14ac:dyDescent="0.25">
      <c r="B10" t="s">
        <v>34</v>
      </c>
      <c r="E10" s="114">
        <v>-65</v>
      </c>
      <c r="F10" s="114">
        <v>-66</v>
      </c>
      <c r="G10" s="114">
        <v>-73</v>
      </c>
      <c r="H10" s="114">
        <v>-82</v>
      </c>
      <c r="I10" s="114">
        <v>0</v>
      </c>
      <c r="J10" s="114">
        <v>0</v>
      </c>
    </row>
    <row r="11" spans="2:10" x14ac:dyDescent="0.25">
      <c r="B11" t="s">
        <v>35</v>
      </c>
      <c r="E11" s="114">
        <v>12</v>
      </c>
      <c r="F11" s="114">
        <v>0</v>
      </c>
      <c r="G11" s="114">
        <v>0</v>
      </c>
      <c r="H11" s="114">
        <v>15</v>
      </c>
      <c r="I11" s="114">
        <v>11</v>
      </c>
      <c r="J11" s="114">
        <v>6</v>
      </c>
    </row>
    <row r="12" spans="2:10" x14ac:dyDescent="0.25">
      <c r="B12" t="s">
        <v>36</v>
      </c>
      <c r="E12" s="114">
        <v>-3</v>
      </c>
      <c r="F12" s="114">
        <v>-1</v>
      </c>
      <c r="G12" s="114">
        <v>0</v>
      </c>
      <c r="H12" s="114">
        <v>-4</v>
      </c>
      <c r="I12" s="114">
        <v>-12</v>
      </c>
      <c r="J12" s="114">
        <v>-3</v>
      </c>
    </row>
    <row r="13" spans="2:10" x14ac:dyDescent="0.25">
      <c r="B13" t="s">
        <v>12</v>
      </c>
      <c r="E13" s="114">
        <v>0</v>
      </c>
      <c r="F13" s="114">
        <v>0</v>
      </c>
      <c r="G13" s="114">
        <f>-926</f>
        <v>-926</v>
      </c>
      <c r="H13" s="114">
        <f>-58-255-6</f>
        <v>-319</v>
      </c>
      <c r="I13" s="114">
        <f>-58-25-156</f>
        <v>-239</v>
      </c>
      <c r="J13" s="114">
        <f>-42-74</f>
        <v>-116</v>
      </c>
    </row>
    <row r="14" spans="2:10" x14ac:dyDescent="0.25">
      <c r="B14" s="11" t="s">
        <v>37</v>
      </c>
      <c r="C14" s="11"/>
      <c r="D14" s="12"/>
      <c r="E14" s="13">
        <f>SUM(E6:E13)</f>
        <v>5085</v>
      </c>
      <c r="F14" s="13">
        <f>SUM(F6:F13)</f>
        <v>2670</v>
      </c>
      <c r="G14" s="13">
        <f>SUM(G6:G13)</f>
        <v>-386</v>
      </c>
      <c r="H14" s="13">
        <f>SUM(H6:H13)</f>
        <v>1083</v>
      </c>
      <c r="I14" s="13">
        <f>SUM(I6:I13)</f>
        <v>2807</v>
      </c>
      <c r="J14" s="13">
        <f>SUM(J6:J13)</f>
        <v>3413</v>
      </c>
    </row>
    <row r="15" spans="2:10" x14ac:dyDescent="0.25">
      <c r="B15" s="23" t="s">
        <v>38</v>
      </c>
      <c r="C15" s="23"/>
      <c r="D15" s="24"/>
      <c r="E15" s="29"/>
      <c r="F15" s="29"/>
      <c r="G15" s="29"/>
      <c r="H15" s="29"/>
      <c r="I15" s="29"/>
      <c r="J15" s="29"/>
    </row>
    <row r="16" spans="2:10" x14ac:dyDescent="0.25">
      <c r="B16" t="s">
        <v>39</v>
      </c>
      <c r="E16" s="114">
        <v>-2563</v>
      </c>
      <c r="F16" s="114">
        <v>-906</v>
      </c>
      <c r="G16" s="114">
        <v>-747</v>
      </c>
      <c r="H16" s="114">
        <v>-1549</v>
      </c>
      <c r="I16" s="114">
        <v>-1944</v>
      </c>
      <c r="J16" s="114">
        <v>-1959</v>
      </c>
    </row>
    <row r="17" spans="2:10" x14ac:dyDescent="0.25">
      <c r="B17" t="s">
        <v>40</v>
      </c>
      <c r="E17" s="114">
        <v>-31</v>
      </c>
      <c r="F17" s="114">
        <v>-15</v>
      </c>
      <c r="G17" s="114">
        <v>-21</v>
      </c>
      <c r="H17" s="114">
        <v>-48</v>
      </c>
      <c r="I17" s="114">
        <v>-42</v>
      </c>
      <c r="J17" s="114">
        <v>-44</v>
      </c>
    </row>
    <row r="18" spans="2:10" x14ac:dyDescent="0.25">
      <c r="B18" t="s">
        <v>41</v>
      </c>
      <c r="E18" s="114">
        <v>11</v>
      </c>
      <c r="F18" s="114">
        <v>801</v>
      </c>
      <c r="G18" s="114">
        <v>94</v>
      </c>
      <c r="H18" s="114">
        <v>50</v>
      </c>
      <c r="I18" s="114">
        <v>333</v>
      </c>
      <c r="J18" s="114">
        <v>17</v>
      </c>
    </row>
    <row r="19" spans="2:10" x14ac:dyDescent="0.25">
      <c r="B19" t="s">
        <v>42</v>
      </c>
      <c r="E19" s="114">
        <v>33</v>
      </c>
      <c r="F19" s="114">
        <v>0</v>
      </c>
      <c r="G19" s="114">
        <v>0</v>
      </c>
      <c r="H19" s="114">
        <v>0</v>
      </c>
      <c r="I19" s="114">
        <f>139+11</f>
        <v>150</v>
      </c>
      <c r="J19" s="114">
        <v>17</v>
      </c>
    </row>
    <row r="20" spans="2:10" x14ac:dyDescent="0.25">
      <c r="B20" t="s">
        <v>43</v>
      </c>
      <c r="E20" s="114">
        <v>-75</v>
      </c>
      <c r="F20" s="114">
        <v>-66</v>
      </c>
      <c r="G20" s="114">
        <v>-48</v>
      </c>
      <c r="H20" s="114">
        <v>-2</v>
      </c>
      <c r="I20" s="114">
        <v>0</v>
      </c>
      <c r="J20" s="114">
        <v>0</v>
      </c>
    </row>
    <row r="21" spans="2:10" x14ac:dyDescent="0.25">
      <c r="B21" t="s">
        <v>44</v>
      </c>
      <c r="E21" s="114">
        <v>0</v>
      </c>
      <c r="F21" s="114">
        <v>-54</v>
      </c>
      <c r="G21" s="114">
        <v>0</v>
      </c>
      <c r="H21" s="114">
        <v>-22</v>
      </c>
      <c r="I21" s="114">
        <v>-60</v>
      </c>
      <c r="J21" s="114">
        <v>-2</v>
      </c>
    </row>
    <row r="22" spans="2:10" x14ac:dyDescent="0.25">
      <c r="B22" t="s">
        <v>12</v>
      </c>
      <c r="E22" s="114">
        <v>0</v>
      </c>
      <c r="F22" s="114">
        <v>0</v>
      </c>
      <c r="G22" s="114">
        <v>0</v>
      </c>
      <c r="H22" s="114">
        <v>0</v>
      </c>
      <c r="I22" s="114">
        <v>-88</v>
      </c>
      <c r="J22" s="114">
        <v>-230</v>
      </c>
    </row>
    <row r="23" spans="2:10" x14ac:dyDescent="0.25">
      <c r="B23" s="11" t="s">
        <v>45</v>
      </c>
      <c r="C23" s="11"/>
      <c r="D23" s="12"/>
      <c r="E23" s="13">
        <f>SUM(E16:E22)</f>
        <v>-2625</v>
      </c>
      <c r="F23" s="13">
        <f>SUM(F16:F22)</f>
        <v>-240</v>
      </c>
      <c r="G23" s="13">
        <f>SUM(G16:G22)</f>
        <v>-722</v>
      </c>
      <c r="H23" s="13">
        <f>SUM(H16:H22)</f>
        <v>-1571</v>
      </c>
      <c r="I23" s="13">
        <f>SUM(I16:I22)</f>
        <v>-1651</v>
      </c>
      <c r="J23" s="13">
        <f>SUM(J16:J22)</f>
        <v>-2201</v>
      </c>
    </row>
    <row r="24" spans="2:10" x14ac:dyDescent="0.25">
      <c r="B24" s="23" t="s">
        <v>46</v>
      </c>
      <c r="C24" s="23"/>
      <c r="D24" s="24"/>
      <c r="E24" s="29"/>
      <c r="F24" s="29"/>
      <c r="G24" s="29"/>
      <c r="H24" s="29"/>
      <c r="I24" s="29"/>
      <c r="J24" s="29"/>
    </row>
    <row r="25" spans="2:10" x14ac:dyDescent="0.25">
      <c r="B25" t="s">
        <v>47</v>
      </c>
      <c r="E25" s="114">
        <v>-1000</v>
      </c>
      <c r="F25" s="114">
        <v>0</v>
      </c>
      <c r="G25" s="114">
        <v>0</v>
      </c>
      <c r="H25" s="114">
        <v>-443</v>
      </c>
      <c r="I25" s="114">
        <v>-637</v>
      </c>
      <c r="J25" s="114">
        <v>-751</v>
      </c>
    </row>
    <row r="26" spans="2:10" x14ac:dyDescent="0.25">
      <c r="B26" t="s">
        <v>48</v>
      </c>
      <c r="E26" s="114">
        <v>-103</v>
      </c>
      <c r="F26" s="114">
        <v>-2</v>
      </c>
      <c r="G26" s="114">
        <v>0</v>
      </c>
      <c r="H26" s="114">
        <v>-5</v>
      </c>
      <c r="I26" s="114">
        <v>-98</v>
      </c>
      <c r="J26" s="114">
        <v>-162</v>
      </c>
    </row>
    <row r="27" spans="2:10" x14ac:dyDescent="0.25">
      <c r="B27" t="s">
        <v>58</v>
      </c>
      <c r="E27" s="114">
        <v>826</v>
      </c>
      <c r="F27" s="114">
        <v>491</v>
      </c>
      <c r="G27" s="114">
        <v>937</v>
      </c>
      <c r="H27" s="114">
        <v>2155</v>
      </c>
      <c r="I27" s="114">
        <v>1137</v>
      </c>
      <c r="J27" s="114">
        <v>668</v>
      </c>
    </row>
    <row r="28" spans="2:10" x14ac:dyDescent="0.25">
      <c r="B28" t="s">
        <v>59</v>
      </c>
      <c r="E28" s="114">
        <v>-1669</v>
      </c>
      <c r="F28" s="114">
        <v>-1441</v>
      </c>
      <c r="G28" s="114">
        <v>-759</v>
      </c>
      <c r="H28" s="114">
        <v>-625</v>
      </c>
      <c r="I28" s="114">
        <v>-744</v>
      </c>
      <c r="J28" s="114">
        <v>-802</v>
      </c>
    </row>
    <row r="29" spans="2:10" x14ac:dyDescent="0.25">
      <c r="B29" t="s">
        <v>49</v>
      </c>
      <c r="E29" s="114">
        <v>-690</v>
      </c>
      <c r="F29" s="114">
        <v>-363</v>
      </c>
      <c r="G29" s="114">
        <v>-420</v>
      </c>
      <c r="H29" s="114">
        <v>-367</v>
      </c>
      <c r="I29" s="114">
        <v>0</v>
      </c>
      <c r="J29" s="114">
        <v>0</v>
      </c>
    </row>
    <row r="30" spans="2:10" x14ac:dyDescent="0.25">
      <c r="B30" t="s">
        <v>50</v>
      </c>
      <c r="E30" s="114">
        <v>8</v>
      </c>
      <c r="F30" s="114">
        <v>6</v>
      </c>
      <c r="G30" s="114">
        <v>3</v>
      </c>
      <c r="H30" s="114">
        <v>0</v>
      </c>
      <c r="I30" s="114">
        <v>0</v>
      </c>
      <c r="J30" s="114">
        <v>0</v>
      </c>
    </row>
    <row r="31" spans="2:10" x14ac:dyDescent="0.25">
      <c r="B31" t="s">
        <v>51</v>
      </c>
      <c r="E31" s="114">
        <v>0</v>
      </c>
      <c r="F31" s="114">
        <v>-1</v>
      </c>
      <c r="G31" s="114">
        <v>0</v>
      </c>
      <c r="H31" s="114">
        <v>-204</v>
      </c>
      <c r="I31" s="114">
        <v>-363</v>
      </c>
      <c r="J31" s="114">
        <v>-249</v>
      </c>
    </row>
    <row r="32" spans="2:10" x14ac:dyDescent="0.25">
      <c r="B32" t="s">
        <v>12</v>
      </c>
      <c r="E32" s="114">
        <v>0</v>
      </c>
      <c r="F32" s="114">
        <v>0</v>
      </c>
      <c r="G32" s="114">
        <v>58</v>
      </c>
      <c r="H32" s="114">
        <v>1342</v>
      </c>
      <c r="I32" s="114"/>
      <c r="J32" s="114"/>
    </row>
    <row r="33" spans="2:10" x14ac:dyDescent="0.25">
      <c r="B33" s="11" t="s">
        <v>52</v>
      </c>
      <c r="C33" s="11"/>
      <c r="D33" s="12"/>
      <c r="E33" s="13">
        <f>SUM(E25:E32)</f>
        <v>-2628</v>
      </c>
      <c r="F33" s="13">
        <f>SUM(F25:F32)</f>
        <v>-1310</v>
      </c>
      <c r="G33" s="13">
        <f>SUM(G25:G32)</f>
        <v>-181</v>
      </c>
      <c r="H33" s="13">
        <f>SUM(H25:H32)</f>
        <v>1853</v>
      </c>
      <c r="I33" s="13">
        <f t="shared" ref="I33:J33" si="0">SUM(I25:I31)</f>
        <v>-705</v>
      </c>
      <c r="J33" s="13">
        <f t="shared" si="0"/>
        <v>-1296</v>
      </c>
    </row>
    <row r="34" spans="2:10" x14ac:dyDescent="0.25">
      <c r="B34" s="23" t="s">
        <v>53</v>
      </c>
      <c r="C34" s="23"/>
      <c r="D34" s="24"/>
      <c r="E34" s="29">
        <f>E14+E23+E33</f>
        <v>-168</v>
      </c>
      <c r="F34" s="29">
        <f>F14+F23+F33</f>
        <v>1120</v>
      </c>
      <c r="G34" s="29">
        <f t="shared" ref="G34:J34" si="1">G14+G23+G33</f>
        <v>-1289</v>
      </c>
      <c r="H34" s="29">
        <f t="shared" si="1"/>
        <v>1365</v>
      </c>
      <c r="I34" s="29">
        <f t="shared" si="1"/>
        <v>451</v>
      </c>
      <c r="J34" s="29">
        <f t="shared" si="1"/>
        <v>-84</v>
      </c>
    </row>
    <row r="35" spans="2:10" x14ac:dyDescent="0.25">
      <c r="B35" t="s">
        <v>54</v>
      </c>
      <c r="E35" s="114">
        <v>3343</v>
      </c>
      <c r="F35" s="114">
        <v>2221</v>
      </c>
      <c r="G35" s="114">
        <v>3520</v>
      </c>
      <c r="H35" s="114">
        <v>2157</v>
      </c>
      <c r="I35" s="114">
        <v>1694</v>
      </c>
      <c r="J35" s="114">
        <v>1775</v>
      </c>
    </row>
    <row r="36" spans="2:10" x14ac:dyDescent="0.25">
      <c r="B36" t="s">
        <v>55</v>
      </c>
      <c r="E36" s="114">
        <v>-4</v>
      </c>
      <c r="F36" s="114">
        <v>2</v>
      </c>
      <c r="G36" s="114">
        <v>-10</v>
      </c>
      <c r="H36" s="114">
        <v>-2</v>
      </c>
      <c r="I36" s="114">
        <v>12</v>
      </c>
      <c r="J36" s="114">
        <v>3</v>
      </c>
    </row>
    <row r="37" spans="2:10" x14ac:dyDescent="0.25">
      <c r="B37" s="11" t="s">
        <v>56</v>
      </c>
      <c r="C37" s="11"/>
      <c r="D37" s="12"/>
      <c r="E37" s="13">
        <f>SUM(E34:E36)</f>
        <v>3171</v>
      </c>
      <c r="F37" s="13">
        <f>SUM(F34:F36)</f>
        <v>3343</v>
      </c>
      <c r="G37" s="13">
        <f t="shared" ref="G37:J37" si="2">SUM(G34:G36)</f>
        <v>2221</v>
      </c>
      <c r="H37" s="13">
        <f t="shared" si="2"/>
        <v>3520</v>
      </c>
      <c r="I37" s="13">
        <f t="shared" si="2"/>
        <v>2157</v>
      </c>
      <c r="J37" s="13">
        <f t="shared" si="2"/>
        <v>1694</v>
      </c>
    </row>
    <row r="39" spans="2:10" x14ac:dyDescent="0.25">
      <c r="B39" s="101" t="s">
        <v>172</v>
      </c>
    </row>
    <row r="40" spans="2:10" x14ac:dyDescent="0.25">
      <c r="B40" s="104" t="s">
        <v>173</v>
      </c>
      <c r="C40" s="102" t="s">
        <v>174</v>
      </c>
    </row>
    <row r="41" spans="2:10" x14ac:dyDescent="0.25">
      <c r="B41" s="104" t="s">
        <v>175</v>
      </c>
      <c r="C41" s="102" t="s">
        <v>177</v>
      </c>
    </row>
    <row r="42" spans="2:10" x14ac:dyDescent="0.25">
      <c r="B42" s="104" t="s">
        <v>176</v>
      </c>
      <c r="C42" s="103" t="s">
        <v>178</v>
      </c>
    </row>
  </sheetData>
  <hyperlinks>
    <hyperlink ref="C40" r:id="rId1" xr:uid="{9E05A2E1-4F69-3F4E-ADC0-487BEDEBA1FA}"/>
    <hyperlink ref="C41" r:id="rId2" xr:uid="{9F65C843-9A91-8143-A612-DD63E62CC55E}"/>
    <hyperlink ref="C42" r:id="rId3" xr:uid="{469384CC-4763-6446-93FC-31E0CFFFDAA7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3D61B-E881-D242-8FF5-E7B41113CEF0}">
  <dimension ref="B1:N28"/>
  <sheetViews>
    <sheetView showGridLines="0" workbookViewId="0">
      <selection activeCell="O29" sqref="O29"/>
    </sheetView>
  </sheetViews>
  <sheetFormatPr defaultColWidth="10.8515625" defaultRowHeight="16.5" x14ac:dyDescent="0.25"/>
  <cols>
    <col min="1" max="1" width="4.3125" customWidth="1"/>
    <col min="2" max="2" width="30.2109375" customWidth="1"/>
    <col min="9" max="9" width="9.86328125" bestFit="1" customWidth="1"/>
    <col min="10" max="10" width="9.4921875" bestFit="1" customWidth="1"/>
    <col min="11" max="14" width="11.21875" bestFit="1" customWidth="1"/>
  </cols>
  <sheetData>
    <row r="1" spans="2:14" ht="21" x14ac:dyDescent="0.3">
      <c r="B1" s="147" t="s">
        <v>246</v>
      </c>
    </row>
    <row r="3" spans="2:14" x14ac:dyDescent="0.25">
      <c r="B3" s="31" t="s">
        <v>94</v>
      </c>
      <c r="C3" s="32" t="s">
        <v>112</v>
      </c>
      <c r="D3" s="32" t="s">
        <v>113</v>
      </c>
      <c r="E3" s="32" t="s">
        <v>114</v>
      </c>
      <c r="F3" s="32" t="s">
        <v>115</v>
      </c>
      <c r="G3" s="32" t="s">
        <v>63</v>
      </c>
      <c r="H3" s="32" t="s">
        <v>64</v>
      </c>
      <c r="I3" s="32" t="s">
        <v>99</v>
      </c>
      <c r="J3" s="32" t="s">
        <v>100</v>
      </c>
      <c r="K3" s="32" t="s">
        <v>101</v>
      </c>
      <c r="L3" s="32" t="s">
        <v>102</v>
      </c>
      <c r="M3" s="32" t="s">
        <v>103</v>
      </c>
      <c r="N3" s="32" t="s">
        <v>104</v>
      </c>
    </row>
    <row r="4" spans="2:14" x14ac:dyDescent="0.25">
      <c r="B4" t="s">
        <v>96</v>
      </c>
      <c r="C4" s="48"/>
      <c r="D4" s="48"/>
      <c r="E4" s="48"/>
      <c r="F4" s="48"/>
      <c r="G4" s="48"/>
      <c r="H4" s="48">
        <f>H6/H5</f>
        <v>0.64454022988505744</v>
      </c>
      <c r="I4" s="54">
        <f>C12</f>
        <v>0.66935873298982684</v>
      </c>
      <c r="J4" s="54">
        <f>I4</f>
        <v>0.66935873298982684</v>
      </c>
      <c r="K4" s="54">
        <f t="shared" ref="K4:N4" si="0">J4</f>
        <v>0.66935873298982684</v>
      </c>
      <c r="L4" s="54">
        <f t="shared" si="0"/>
        <v>0.66935873298982684</v>
      </c>
      <c r="M4" s="54">
        <f t="shared" si="0"/>
        <v>0.66935873298982684</v>
      </c>
      <c r="N4" s="54">
        <f t="shared" si="0"/>
        <v>0.66935873298982684</v>
      </c>
    </row>
    <row r="5" spans="2:14" x14ac:dyDescent="0.25">
      <c r="B5" t="s">
        <v>97</v>
      </c>
      <c r="C5" s="43"/>
      <c r="D5" s="43"/>
      <c r="E5" s="43"/>
      <c r="F5" s="43"/>
      <c r="G5" s="43"/>
      <c r="H5" s="43">
        <v>17400</v>
      </c>
      <c r="I5" s="1">
        <f>($N$5-$H$5)/6+H5</f>
        <v>17900</v>
      </c>
      <c r="J5" s="1">
        <f>($N$5-$H$5)/6+I5</f>
        <v>18400</v>
      </c>
      <c r="K5" s="1">
        <f>($N$5-$H$5)/6+J5</f>
        <v>18900</v>
      </c>
      <c r="L5" s="1">
        <f>($N$5-$H$5)/6+K5</f>
        <v>19400</v>
      </c>
      <c r="M5" s="1">
        <f>($N$5-$H$5)/6+L5</f>
        <v>19900</v>
      </c>
      <c r="N5" s="1">
        <v>20400</v>
      </c>
    </row>
    <row r="6" spans="2:14" x14ac:dyDescent="0.25">
      <c r="B6" t="s">
        <v>98</v>
      </c>
      <c r="C6" s="43">
        <f>5945+3795</f>
        <v>9740</v>
      </c>
      <c r="D6" s="43">
        <f>6106+3961</f>
        <v>10067</v>
      </c>
      <c r="E6" s="43">
        <f>4672+3006</f>
        <v>7678</v>
      </c>
      <c r="F6" s="43">
        <f>2745+1140</f>
        <v>3885</v>
      </c>
      <c r="G6" s="43">
        <f>3448+1440</f>
        <v>4888</v>
      </c>
      <c r="H6" s="43">
        <f>6980+4235</f>
        <v>11215</v>
      </c>
      <c r="I6" s="1">
        <f t="shared" ref="I6:N6" si="1">I4*I5</f>
        <v>11981.521320517901</v>
      </c>
      <c r="J6" s="1">
        <f t="shared" si="1"/>
        <v>12316.200687012813</v>
      </c>
      <c r="K6" s="1">
        <f t="shared" si="1"/>
        <v>12650.880053507728</v>
      </c>
      <c r="L6" s="1">
        <f t="shared" si="1"/>
        <v>12985.559420002641</v>
      </c>
      <c r="M6" s="1">
        <f t="shared" si="1"/>
        <v>13320.238786497554</v>
      </c>
      <c r="N6" s="1">
        <f t="shared" si="1"/>
        <v>13654.918152992468</v>
      </c>
    </row>
    <row r="7" spans="2:14" x14ac:dyDescent="0.25">
      <c r="D7" s="46"/>
      <c r="E7" s="46"/>
      <c r="F7" s="46"/>
      <c r="G7" s="46"/>
      <c r="H7" s="46"/>
      <c r="I7" s="46"/>
    </row>
    <row r="9" spans="2:14" x14ac:dyDescent="0.25">
      <c r="B9" t="s">
        <v>106</v>
      </c>
      <c r="C9" s="1">
        <v>670</v>
      </c>
    </row>
    <row r="10" spans="2:14" x14ac:dyDescent="0.25">
      <c r="B10" t="s">
        <v>105</v>
      </c>
      <c r="C10" s="1">
        <f>H4*C9</f>
        <v>431.84195402298849</v>
      </c>
    </row>
    <row r="11" spans="2:14" x14ac:dyDescent="0.25">
      <c r="B11" t="s">
        <v>107</v>
      </c>
      <c r="C11" s="1">
        <f>H6+C10</f>
        <v>11646.841954022988</v>
      </c>
    </row>
    <row r="12" spans="2:14" x14ac:dyDescent="0.25">
      <c r="B12" t="s">
        <v>108</v>
      </c>
      <c r="C12" s="54">
        <f>C11/H5</f>
        <v>0.66935873298982684</v>
      </c>
    </row>
    <row r="14" spans="2:14" x14ac:dyDescent="0.25">
      <c r="B14" s="31" t="s">
        <v>95</v>
      </c>
      <c r="C14" s="32" t="s">
        <v>112</v>
      </c>
      <c r="D14" s="32" t="s">
        <v>113</v>
      </c>
      <c r="E14" s="32" t="s">
        <v>114</v>
      </c>
      <c r="F14" s="32" t="s">
        <v>115</v>
      </c>
      <c r="G14" s="32" t="s">
        <v>63</v>
      </c>
      <c r="H14" s="32" t="s">
        <v>64</v>
      </c>
      <c r="I14" s="32" t="s">
        <v>99</v>
      </c>
      <c r="J14" s="32" t="s">
        <v>100</v>
      </c>
      <c r="K14" s="32" t="s">
        <v>101</v>
      </c>
      <c r="L14" s="32" t="s">
        <v>102</v>
      </c>
      <c r="M14" s="32" t="s">
        <v>103</v>
      </c>
      <c r="N14" s="32" t="s">
        <v>104</v>
      </c>
    </row>
    <row r="15" spans="2:14" x14ac:dyDescent="0.25">
      <c r="B15" t="s">
        <v>96</v>
      </c>
      <c r="C15" s="48"/>
      <c r="D15" s="48"/>
      <c r="E15" s="48"/>
      <c r="F15" s="48"/>
      <c r="G15" s="48"/>
      <c r="H15" s="48">
        <f>H17/H16</f>
        <v>0.27774193548387099</v>
      </c>
      <c r="I15" s="54">
        <f>H15</f>
        <v>0.27774193548387099</v>
      </c>
      <c r="J15" s="54">
        <f>I15</f>
        <v>0.27774193548387099</v>
      </c>
      <c r="K15" s="54">
        <f t="shared" ref="K15:N15" si="2">J15</f>
        <v>0.27774193548387099</v>
      </c>
      <c r="L15" s="54">
        <f t="shared" si="2"/>
        <v>0.27774193548387099</v>
      </c>
      <c r="M15" s="54">
        <f t="shared" si="2"/>
        <v>0.27774193548387099</v>
      </c>
      <c r="N15" s="54">
        <f t="shared" si="2"/>
        <v>0.27774193548387099</v>
      </c>
    </row>
    <row r="16" spans="2:14" x14ac:dyDescent="0.25">
      <c r="B16" t="s">
        <v>97</v>
      </c>
      <c r="C16" s="43"/>
      <c r="D16" s="43"/>
      <c r="E16" s="43"/>
      <c r="F16" s="43"/>
      <c r="G16" s="43"/>
      <c r="H16" s="43">
        <v>27900</v>
      </c>
      <c r="I16" s="1">
        <f>($N$16-$H$16)/6+H16</f>
        <v>29000</v>
      </c>
      <c r="J16" s="1">
        <f t="shared" ref="J16:M16" si="3">($N$16-$H$16)/6+I16</f>
        <v>30100</v>
      </c>
      <c r="K16" s="1">
        <f t="shared" si="3"/>
        <v>31200</v>
      </c>
      <c r="L16" s="1">
        <f t="shared" si="3"/>
        <v>32300</v>
      </c>
      <c r="M16" s="1">
        <f t="shared" si="3"/>
        <v>33400</v>
      </c>
      <c r="N16" s="1">
        <v>34500</v>
      </c>
    </row>
    <row r="17" spans="2:14" x14ac:dyDescent="0.25">
      <c r="B17" t="s">
        <v>98</v>
      </c>
      <c r="C17" s="43">
        <v>6925</v>
      </c>
      <c r="D17" s="43">
        <v>7425</v>
      </c>
      <c r="E17" s="43">
        <v>6077</v>
      </c>
      <c r="F17" s="43">
        <v>1598</v>
      </c>
      <c r="G17" s="43">
        <v>3706</v>
      </c>
      <c r="H17" s="43">
        <v>7749</v>
      </c>
      <c r="I17" s="1">
        <f t="shared" ref="I17" si="4">I15*I16</f>
        <v>8054.5161290322585</v>
      </c>
      <c r="J17" s="1">
        <f t="shared" ref="J17" si="5">J15*J16</f>
        <v>8360.032258064517</v>
      </c>
      <c r="K17" s="1">
        <f t="shared" ref="K17" si="6">K15*K16</f>
        <v>8665.5483870967746</v>
      </c>
      <c r="L17" s="1">
        <f t="shared" ref="L17" si="7">L15*L16</f>
        <v>8971.064516129034</v>
      </c>
      <c r="M17" s="1">
        <f t="shared" ref="M17" si="8">M15*M16</f>
        <v>9276.5806451612916</v>
      </c>
      <c r="N17" s="1">
        <f t="shared" ref="N17" si="9">N15*N16</f>
        <v>9582.0967741935492</v>
      </c>
    </row>
    <row r="20" spans="2:14" x14ac:dyDescent="0.25">
      <c r="B20" s="31" t="s">
        <v>110</v>
      </c>
      <c r="C20" s="32" t="s">
        <v>112</v>
      </c>
      <c r="D20" s="32" t="s">
        <v>113</v>
      </c>
      <c r="E20" s="32" t="s">
        <v>114</v>
      </c>
      <c r="F20" s="32" t="s">
        <v>115</v>
      </c>
      <c r="G20" s="32" t="s">
        <v>63</v>
      </c>
      <c r="H20" s="32" t="s">
        <v>64</v>
      </c>
      <c r="I20" s="32" t="s">
        <v>99</v>
      </c>
      <c r="J20" s="32" t="s">
        <v>100</v>
      </c>
      <c r="K20" s="32" t="s">
        <v>101</v>
      </c>
      <c r="L20" s="32" t="s">
        <v>102</v>
      </c>
      <c r="M20" s="32" t="s">
        <v>103</v>
      </c>
      <c r="N20" s="32" t="s">
        <v>104</v>
      </c>
    </row>
    <row r="21" spans="2:14" ht="17.100000000000001" customHeight="1" x14ac:dyDescent="0.25">
      <c r="B21" t="s">
        <v>111</v>
      </c>
      <c r="C21" s="43">
        <v>12.3</v>
      </c>
      <c r="D21" s="43">
        <v>12.9</v>
      </c>
      <c r="E21" s="43">
        <v>13.4</v>
      </c>
      <c r="F21" s="43">
        <v>13.6</v>
      </c>
      <c r="G21" s="43">
        <v>14.1</v>
      </c>
      <c r="H21" s="43">
        <v>15.2</v>
      </c>
      <c r="I21" s="1">
        <f>H21*(1+I22)</f>
        <v>16.243877068557918</v>
      </c>
      <c r="J21" s="1">
        <f t="shared" ref="J21:N21" si="10">I21*(1+J22)</f>
        <v>17.207757244493624</v>
      </c>
      <c r="K21" s="1">
        <f t="shared" si="10"/>
        <v>18.068145106718305</v>
      </c>
      <c r="L21" s="1">
        <f t="shared" si="10"/>
        <v>18.971552362054222</v>
      </c>
      <c r="M21" s="1">
        <f t="shared" si="10"/>
        <v>19.920129980156933</v>
      </c>
      <c r="N21" s="1">
        <f t="shared" si="10"/>
        <v>20.916136479164781</v>
      </c>
    </row>
    <row r="22" spans="2:14" ht="17.100000000000001" customHeight="1" x14ac:dyDescent="0.25">
      <c r="B22" s="44" t="s">
        <v>117</v>
      </c>
      <c r="C22" s="1"/>
      <c r="D22" s="46">
        <f>(D21-C21)/C21</f>
        <v>4.8780487804878016E-2</v>
      </c>
      <c r="E22" s="46">
        <f t="shared" ref="E22:H22" si="11">(E21-D21)/D21</f>
        <v>3.875968992248062E-2</v>
      </c>
      <c r="F22" s="46">
        <f t="shared" si="11"/>
        <v>1.4925373134328304E-2</v>
      </c>
      <c r="G22" s="46">
        <f t="shared" si="11"/>
        <v>3.6764705882352942E-2</v>
      </c>
      <c r="H22" s="46">
        <f t="shared" si="11"/>
        <v>7.8014184397163094E-2</v>
      </c>
      <c r="I22" s="46">
        <f>(K22-H22)/3+H22</f>
        <v>6.8676122931442068E-2</v>
      </c>
      <c r="J22" s="46">
        <f>(K22-I22)/2+I22</f>
        <v>5.9338061465721036E-2</v>
      </c>
      <c r="K22" s="48">
        <v>0.05</v>
      </c>
      <c r="L22" s="48">
        <f>K22</f>
        <v>0.05</v>
      </c>
      <c r="M22" s="48">
        <f t="shared" ref="M22:N22" si="12">L22</f>
        <v>0.05</v>
      </c>
      <c r="N22" s="48">
        <f t="shared" si="12"/>
        <v>0.05</v>
      </c>
    </row>
    <row r="23" spans="2:14" x14ac:dyDescent="0.25">
      <c r="B23" t="s">
        <v>116</v>
      </c>
      <c r="C23" s="43">
        <v>1289</v>
      </c>
      <c r="D23" s="43">
        <v>1299</v>
      </c>
      <c r="E23" s="43">
        <v>1029</v>
      </c>
      <c r="F23" s="43">
        <v>852</v>
      </c>
      <c r="G23" s="43">
        <v>1194</v>
      </c>
      <c r="H23" s="43">
        <v>1512</v>
      </c>
      <c r="I23" s="1">
        <f>I21*100</f>
        <v>1624.3877068557917</v>
      </c>
      <c r="J23" s="1">
        <f t="shared" ref="J23:N23" si="13">J21*100</f>
        <v>1720.7757244493625</v>
      </c>
      <c r="K23" s="1">
        <f t="shared" si="13"/>
        <v>1806.8145106718305</v>
      </c>
      <c r="L23" s="1">
        <f t="shared" si="13"/>
        <v>1897.1552362054222</v>
      </c>
      <c r="M23" s="1">
        <f t="shared" si="13"/>
        <v>1992.0129980156933</v>
      </c>
      <c r="N23" s="1">
        <f t="shared" si="13"/>
        <v>2091.6136479164779</v>
      </c>
    </row>
    <row r="24" spans="2:14" x14ac:dyDescent="0.25">
      <c r="C24" s="2"/>
      <c r="D24" s="2"/>
      <c r="E24" s="2"/>
      <c r="F24" s="2"/>
      <c r="G24" s="2"/>
      <c r="H24" s="2"/>
    </row>
    <row r="25" spans="2:14" x14ac:dyDescent="0.25">
      <c r="B25" s="101" t="s">
        <v>172</v>
      </c>
      <c r="C25" s="2"/>
    </row>
    <row r="26" spans="2:14" x14ac:dyDescent="0.25">
      <c r="B26" t="s">
        <v>241</v>
      </c>
      <c r="C26" s="2"/>
    </row>
    <row r="27" spans="2:14" x14ac:dyDescent="0.25">
      <c r="B27" t="s">
        <v>242</v>
      </c>
      <c r="C27" s="2"/>
    </row>
    <row r="28" spans="2:14" x14ac:dyDescent="0.25">
      <c r="C28" s="2"/>
    </row>
  </sheetData>
  <phoneticPr fontId="1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3686C-3EF4-6749-8B96-037D4249163B}">
  <dimension ref="B1:J16"/>
  <sheetViews>
    <sheetView showGridLines="0" zoomScaleNormal="100" workbookViewId="0">
      <selection activeCell="E26" sqref="E26"/>
    </sheetView>
  </sheetViews>
  <sheetFormatPr defaultColWidth="10.8515625" defaultRowHeight="16.5" x14ac:dyDescent="0.25"/>
  <cols>
    <col min="1" max="1" width="4.3125" customWidth="1"/>
    <col min="2" max="2" width="19.60546875" customWidth="1"/>
    <col min="3" max="3" width="22.8125" customWidth="1"/>
    <col min="4" max="5" width="9.86328125" customWidth="1"/>
    <col min="6" max="10" width="10.109375" customWidth="1"/>
  </cols>
  <sheetData>
    <row r="1" spans="2:10" ht="21" x14ac:dyDescent="0.3">
      <c r="B1" s="147" t="s">
        <v>85</v>
      </c>
    </row>
    <row r="3" spans="2:10" x14ac:dyDescent="0.25">
      <c r="B3" s="125" t="s">
        <v>85</v>
      </c>
      <c r="C3" s="125"/>
      <c r="D3" s="126" t="s">
        <v>169</v>
      </c>
      <c r="E3" s="126" t="s">
        <v>112</v>
      </c>
      <c r="F3" s="126" t="s">
        <v>113</v>
      </c>
      <c r="G3" s="126" t="s">
        <v>114</v>
      </c>
      <c r="H3" s="126" t="s">
        <v>115</v>
      </c>
      <c r="I3" s="126" t="s">
        <v>63</v>
      </c>
      <c r="J3" s="126" t="s">
        <v>64</v>
      </c>
    </row>
    <row r="4" spans="2:10" x14ac:dyDescent="0.25">
      <c r="B4" s="9" t="s">
        <v>79</v>
      </c>
      <c r="C4" s="9"/>
      <c r="D4" s="63">
        <v>784</v>
      </c>
      <c r="E4" s="63">
        <v>840</v>
      </c>
      <c r="F4" s="63">
        <v>1101</v>
      </c>
      <c r="G4" s="63">
        <v>520</v>
      </c>
      <c r="H4" s="63">
        <v>579</v>
      </c>
      <c r="I4" s="63">
        <v>1102</v>
      </c>
      <c r="J4" s="63">
        <v>1046</v>
      </c>
    </row>
    <row r="5" spans="2:10" x14ac:dyDescent="0.25">
      <c r="B5" s="9" t="s">
        <v>80</v>
      </c>
      <c r="C5" s="9"/>
      <c r="D5" s="63">
        <v>351</v>
      </c>
      <c r="E5" s="63">
        <v>351</v>
      </c>
      <c r="F5" s="63">
        <v>364</v>
      </c>
      <c r="G5" s="63">
        <v>306</v>
      </c>
      <c r="H5" s="63">
        <v>279</v>
      </c>
      <c r="I5" s="63">
        <v>269</v>
      </c>
      <c r="J5" s="63">
        <v>290</v>
      </c>
    </row>
    <row r="6" spans="2:10" x14ac:dyDescent="0.25">
      <c r="B6" s="16" t="s">
        <v>81</v>
      </c>
      <c r="C6" s="16"/>
      <c r="D6" s="52">
        <f t="shared" ref="D6:H6" si="0">SUM(D4:D5)</f>
        <v>1135</v>
      </c>
      <c r="E6" s="52">
        <f t="shared" si="0"/>
        <v>1191</v>
      </c>
      <c r="F6" s="52">
        <f t="shared" si="0"/>
        <v>1465</v>
      </c>
      <c r="G6" s="52">
        <f t="shared" si="0"/>
        <v>826</v>
      </c>
      <c r="H6" s="52">
        <f t="shared" si="0"/>
        <v>858</v>
      </c>
      <c r="I6" s="52">
        <f>SUM(I4:I5)</f>
        <v>1371</v>
      </c>
      <c r="J6" s="52">
        <f>SUM(J4:J5)</f>
        <v>1336</v>
      </c>
    </row>
    <row r="7" spans="2:10" x14ac:dyDescent="0.25">
      <c r="B7" s="9" t="s">
        <v>82</v>
      </c>
      <c r="C7" s="9"/>
      <c r="D7" s="63">
        <v>2008</v>
      </c>
      <c r="E7" s="63">
        <v>2220</v>
      </c>
      <c r="F7" s="63">
        <v>2470</v>
      </c>
      <c r="G7" s="63">
        <v>2351</v>
      </c>
      <c r="H7" s="63">
        <v>1813</v>
      </c>
      <c r="I7" s="63">
        <v>2474</v>
      </c>
      <c r="J7" s="63">
        <v>2732</v>
      </c>
    </row>
    <row r="8" spans="2:10" x14ac:dyDescent="0.25">
      <c r="B8" s="9" t="s">
        <v>83</v>
      </c>
      <c r="C8" s="9"/>
      <c r="D8" s="63">
        <v>3744</v>
      </c>
      <c r="E8" s="63">
        <v>4018</v>
      </c>
      <c r="F8" s="63">
        <v>4315</v>
      </c>
      <c r="G8" s="63">
        <v>2784</v>
      </c>
      <c r="H8" s="63">
        <v>3277</v>
      </c>
      <c r="I8" s="63">
        <v>5863</v>
      </c>
      <c r="J8" s="63">
        <v>6662</v>
      </c>
    </row>
    <row r="9" spans="2:10" x14ac:dyDescent="0.25">
      <c r="B9" s="16" t="s">
        <v>84</v>
      </c>
      <c r="C9" s="16"/>
      <c r="D9" s="52">
        <f t="shared" ref="D9:H9" si="1">SUM(D7:D8)</f>
        <v>5752</v>
      </c>
      <c r="E9" s="52">
        <f t="shared" si="1"/>
        <v>6238</v>
      </c>
      <c r="F9" s="52">
        <f t="shared" si="1"/>
        <v>6785</v>
      </c>
      <c r="G9" s="52">
        <f t="shared" si="1"/>
        <v>5135</v>
      </c>
      <c r="H9" s="52">
        <f t="shared" si="1"/>
        <v>5090</v>
      </c>
      <c r="I9" s="52">
        <f>SUM(I7:I8)</f>
        <v>8337</v>
      </c>
      <c r="J9" s="52">
        <f>SUM(J7:J8)</f>
        <v>9394</v>
      </c>
    </row>
    <row r="10" spans="2:10" x14ac:dyDescent="0.25">
      <c r="B10" s="127" t="s">
        <v>85</v>
      </c>
      <c r="C10" s="127"/>
      <c r="D10" s="128">
        <f>D6-D9</f>
        <v>-4617</v>
      </c>
      <c r="E10" s="128">
        <f>E6-E9</f>
        <v>-5047</v>
      </c>
      <c r="F10" s="128">
        <f>F6-F9</f>
        <v>-5320</v>
      </c>
      <c r="G10" s="128">
        <f>G6-G9</f>
        <v>-4309</v>
      </c>
      <c r="H10" s="128">
        <f>H6-H9</f>
        <v>-4232</v>
      </c>
      <c r="I10" s="128">
        <f>I6-I9</f>
        <v>-6966</v>
      </c>
      <c r="J10" s="128">
        <f>J6-J9</f>
        <v>-8058</v>
      </c>
    </row>
    <row r="11" spans="2:10" x14ac:dyDescent="0.25">
      <c r="B11" s="129" t="s">
        <v>86</v>
      </c>
      <c r="C11" s="129"/>
      <c r="D11" s="144"/>
      <c r="E11" s="144">
        <f t="shared" ref="E11:I11" si="2">E10-D10</f>
        <v>-430</v>
      </c>
      <c r="F11" s="144">
        <f t="shared" si="2"/>
        <v>-273</v>
      </c>
      <c r="G11" s="144">
        <f t="shared" si="2"/>
        <v>1011</v>
      </c>
      <c r="H11" s="144">
        <f t="shared" si="2"/>
        <v>77</v>
      </c>
      <c r="I11" s="144">
        <f t="shared" si="2"/>
        <v>-2734</v>
      </c>
      <c r="J11" s="144">
        <f>J10-I10</f>
        <v>-1092</v>
      </c>
    </row>
    <row r="13" spans="2:10" x14ac:dyDescent="0.25">
      <c r="B13" s="101" t="s">
        <v>172</v>
      </c>
    </row>
    <row r="14" spans="2:10" x14ac:dyDescent="0.25">
      <c r="B14" s="104" t="s">
        <v>173</v>
      </c>
      <c r="C14" s="102" t="s">
        <v>174</v>
      </c>
    </row>
    <row r="15" spans="2:10" x14ac:dyDescent="0.25">
      <c r="B15" s="104" t="s">
        <v>175</v>
      </c>
      <c r="C15" s="102" t="s">
        <v>177</v>
      </c>
    </row>
    <row r="16" spans="2:10" x14ac:dyDescent="0.25">
      <c r="B16" s="104" t="s">
        <v>176</v>
      </c>
      <c r="C16" s="103" t="s">
        <v>178</v>
      </c>
    </row>
  </sheetData>
  <hyperlinks>
    <hyperlink ref="C14" r:id="rId1" xr:uid="{EC90B6FE-CAAE-4949-9B95-8E96983BCAEB}"/>
    <hyperlink ref="C15" r:id="rId2" xr:uid="{429CE0A6-074C-7143-8BB1-4FEB0404140E}"/>
    <hyperlink ref="C16" r:id="rId3" xr:uid="{07571C27-CB38-364C-B931-6E9C1FE9A738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17F2D-0196-564F-95CF-AF3596975B68}">
  <dimension ref="B1:I11"/>
  <sheetViews>
    <sheetView showGridLines="0" workbookViewId="0">
      <selection activeCell="G25" sqref="G25"/>
    </sheetView>
  </sheetViews>
  <sheetFormatPr defaultColWidth="10.8515625" defaultRowHeight="16.5" x14ac:dyDescent="0.25"/>
  <cols>
    <col min="1" max="1" width="4.3125" customWidth="1"/>
    <col min="2" max="2" width="20.46875" customWidth="1"/>
    <col min="3" max="3" width="21.20703125" customWidth="1"/>
  </cols>
  <sheetData>
    <row r="1" spans="2:9" ht="21" x14ac:dyDescent="0.3">
      <c r="B1" s="148" t="s">
        <v>132</v>
      </c>
    </row>
    <row r="3" spans="2:9" x14ac:dyDescent="0.25">
      <c r="B3" s="125" t="s">
        <v>132</v>
      </c>
      <c r="C3" s="125"/>
      <c r="D3" s="126" t="s">
        <v>112</v>
      </c>
      <c r="E3" s="126" t="s">
        <v>113</v>
      </c>
      <c r="F3" s="126" t="s">
        <v>114</v>
      </c>
      <c r="G3" s="126" t="s">
        <v>115</v>
      </c>
      <c r="H3" s="126" t="s">
        <v>63</v>
      </c>
      <c r="I3" s="126" t="s">
        <v>64</v>
      </c>
    </row>
    <row r="4" spans="2:9" x14ac:dyDescent="0.25">
      <c r="B4" s="9" t="s">
        <v>133</v>
      </c>
      <c r="C4" s="9"/>
      <c r="D4" s="9">
        <v>-399</v>
      </c>
      <c r="E4" s="9">
        <v>-374</v>
      </c>
      <c r="F4" s="9">
        <v>744</v>
      </c>
      <c r="G4" s="9">
        <v>623</v>
      </c>
      <c r="H4" s="9">
        <v>331</v>
      </c>
      <c r="I4" s="9">
        <v>-728</v>
      </c>
    </row>
    <row r="5" spans="2:9" x14ac:dyDescent="0.25">
      <c r="B5" s="9" t="s">
        <v>134</v>
      </c>
      <c r="C5" s="9"/>
      <c r="D5" s="9">
        <v>1352</v>
      </c>
      <c r="E5" s="9">
        <v>1265</v>
      </c>
      <c r="F5" s="9">
        <v>-2708</v>
      </c>
      <c r="G5" s="9">
        <v>-2351</v>
      </c>
      <c r="H5" s="9">
        <v>-1191</v>
      </c>
      <c r="I5" s="9">
        <v>2472</v>
      </c>
    </row>
    <row r="6" spans="2:9" x14ac:dyDescent="0.25">
      <c r="B6" s="130" t="s">
        <v>132</v>
      </c>
      <c r="C6" s="130"/>
      <c r="D6" s="131">
        <f>D4/D5</f>
        <v>-0.29511834319526625</v>
      </c>
      <c r="E6" s="131">
        <f t="shared" ref="E6:I6" si="0">E4/E5</f>
        <v>-0.29565217391304349</v>
      </c>
      <c r="F6" s="131">
        <f t="shared" si="0"/>
        <v>-0.27474150664697194</v>
      </c>
      <c r="G6" s="131">
        <f t="shared" si="0"/>
        <v>-0.26499361973628244</v>
      </c>
      <c r="H6" s="131">
        <f t="shared" si="0"/>
        <v>-0.27791771620486988</v>
      </c>
      <c r="I6" s="131">
        <f t="shared" si="0"/>
        <v>-0.29449838187702265</v>
      </c>
    </row>
    <row r="8" spans="2:9" x14ac:dyDescent="0.25">
      <c r="B8" s="101" t="s">
        <v>172</v>
      </c>
    </row>
    <row r="9" spans="2:9" x14ac:dyDescent="0.25">
      <c r="B9" s="104" t="s">
        <v>173</v>
      </c>
      <c r="C9" s="102" t="s">
        <v>174</v>
      </c>
    </row>
    <row r="10" spans="2:9" x14ac:dyDescent="0.25">
      <c r="B10" s="104" t="s">
        <v>175</v>
      </c>
      <c r="C10" s="102" t="s">
        <v>177</v>
      </c>
    </row>
    <row r="11" spans="2:9" x14ac:dyDescent="0.25">
      <c r="B11" s="104" t="s">
        <v>176</v>
      </c>
      <c r="C11" s="103" t="s">
        <v>178</v>
      </c>
    </row>
  </sheetData>
  <hyperlinks>
    <hyperlink ref="C9" r:id="rId1" xr:uid="{14296C8D-409E-6D4B-B360-AF396636BD0F}"/>
    <hyperlink ref="C10" r:id="rId2" xr:uid="{EE434CB4-E13B-9245-8D59-5B96C5AB5D74}"/>
    <hyperlink ref="C11" r:id="rId3" xr:uid="{3C224F2B-6155-2A4F-AC04-B9756BDF7727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62331-AB46-044D-BEE8-2E1649AE6EB3}">
  <dimension ref="B1:I31"/>
  <sheetViews>
    <sheetView showGridLines="0" workbookViewId="0">
      <selection activeCell="B2" sqref="B2"/>
    </sheetView>
  </sheetViews>
  <sheetFormatPr defaultColWidth="10.8515625" defaultRowHeight="16.5" x14ac:dyDescent="0.25"/>
  <cols>
    <col min="1" max="1" width="4.3125" customWidth="1"/>
    <col min="2" max="2" width="10.8515625" customWidth="1"/>
    <col min="3" max="3" width="29.1015625" customWidth="1"/>
    <col min="4" max="6" width="11.21875" customWidth="1"/>
  </cols>
  <sheetData>
    <row r="1" spans="2:9" ht="21" x14ac:dyDescent="0.3">
      <c r="B1" s="148" t="s">
        <v>247</v>
      </c>
    </row>
    <row r="3" spans="2:9" x14ac:dyDescent="0.25">
      <c r="B3" s="105" t="s">
        <v>179</v>
      </c>
      <c r="C3" s="105"/>
      <c r="D3" s="106" t="s">
        <v>112</v>
      </c>
      <c r="E3" s="106" t="s">
        <v>113</v>
      </c>
      <c r="F3" s="106" t="s">
        <v>114</v>
      </c>
      <c r="G3" s="106" t="s">
        <v>115</v>
      </c>
      <c r="H3" s="106" t="s">
        <v>63</v>
      </c>
      <c r="I3" s="106" t="s">
        <v>64</v>
      </c>
    </row>
    <row r="4" spans="2:9" x14ac:dyDescent="0.25">
      <c r="B4" s="4" t="s">
        <v>180</v>
      </c>
      <c r="C4" s="4"/>
      <c r="D4" s="42"/>
      <c r="E4" s="42"/>
      <c r="F4" s="1"/>
      <c r="G4" s="1"/>
    </row>
    <row r="5" spans="2:9" x14ac:dyDescent="0.25">
      <c r="B5" t="s">
        <v>183</v>
      </c>
      <c r="D5" s="121">
        <f>(SUM($H5:$I5)/SUM($H$26:$I$26))*$D$26</f>
        <v>0</v>
      </c>
      <c r="E5" s="121">
        <f>(SUM($H5:$I5)/SUM($H$26:$I$26))*$E$26</f>
        <v>0</v>
      </c>
      <c r="F5" s="121">
        <f>(SUM($H5:$I5)/SUM($H$12:$I$12))*$F$12</f>
        <v>0</v>
      </c>
      <c r="G5" s="121">
        <f>(SUM($H5:$I5)/SUM($H$12:$I$12))*$G$12</f>
        <v>0</v>
      </c>
      <c r="H5" s="43">
        <v>0</v>
      </c>
      <c r="I5" s="43">
        <v>0</v>
      </c>
    </row>
    <row r="6" spans="2:9" x14ac:dyDescent="0.25">
      <c r="B6" t="s">
        <v>181</v>
      </c>
      <c r="D6" s="121">
        <f t="shared" ref="D6:D11" si="0">(SUM($H6:$I6)/SUM($H$26:$I$26))*$D$26</f>
        <v>-2.1442604546730282</v>
      </c>
      <c r="E6" s="121">
        <f t="shared" ref="E6:E11" si="1">(SUM($H6:$I6)/SUM($H$26:$I$26))*$E$26</f>
        <v>-2.3365141734493404</v>
      </c>
      <c r="F6" s="121">
        <f t="shared" ref="F6:F11" si="2">(SUM($H6:$I6)/SUM($H$12:$I$12))*$F$12</f>
        <v>-2.6817507418397626</v>
      </c>
      <c r="G6" s="121">
        <f t="shared" ref="G6:G11" si="3">(SUM($H6:$I6)/SUM($H$12:$I$12))*$G$12</f>
        <v>-2.5148367952522257</v>
      </c>
      <c r="H6" s="43">
        <v>-3</v>
      </c>
      <c r="I6" s="43">
        <v>-2</v>
      </c>
    </row>
    <row r="7" spans="2:9" x14ac:dyDescent="0.25">
      <c r="B7" t="s">
        <v>182</v>
      </c>
      <c r="D7" s="121">
        <f t="shared" si="0"/>
        <v>-26.159977547010946</v>
      </c>
      <c r="E7" s="121">
        <f t="shared" si="1"/>
        <v>-28.505472916081956</v>
      </c>
      <c r="F7" s="121">
        <f t="shared" si="2"/>
        <v>-32.717359050445104</v>
      </c>
      <c r="G7" s="121">
        <f t="shared" si="3"/>
        <v>-30.681008902077153</v>
      </c>
      <c r="H7" s="43">
        <v>-33</v>
      </c>
      <c r="I7" s="43">
        <v>-28</v>
      </c>
    </row>
    <row r="8" spans="2:9" x14ac:dyDescent="0.25">
      <c r="B8" t="s">
        <v>184</v>
      </c>
      <c r="D8" s="121">
        <f t="shared" si="0"/>
        <v>-42.456357002525962</v>
      </c>
      <c r="E8" s="121">
        <f t="shared" si="1"/>
        <v>-46.262980634296937</v>
      </c>
      <c r="F8" s="121">
        <f t="shared" si="2"/>
        <v>-53.098664688427299</v>
      </c>
      <c r="G8" s="121">
        <f t="shared" si="3"/>
        <v>-49.793768545994062</v>
      </c>
      <c r="H8" s="43">
        <v>-53</v>
      </c>
      <c r="I8" s="43">
        <v>-46</v>
      </c>
    </row>
    <row r="9" spans="2:9" x14ac:dyDescent="0.25">
      <c r="B9" t="s">
        <v>185</v>
      </c>
      <c r="D9" s="121">
        <f t="shared" si="0"/>
        <v>-1045.5413976985685</v>
      </c>
      <c r="E9" s="121">
        <f t="shared" si="1"/>
        <v>-1139.2843109738983</v>
      </c>
      <c r="F9" s="121">
        <f t="shared" si="2"/>
        <v>-1307.6216617210682</v>
      </c>
      <c r="G9" s="121">
        <f t="shared" si="3"/>
        <v>-1226.2344213649851</v>
      </c>
      <c r="H9" s="43">
        <v>-1212</v>
      </c>
      <c r="I9" s="43">
        <v>-1226</v>
      </c>
    </row>
    <row r="10" spans="2:9" x14ac:dyDescent="0.25">
      <c r="B10" t="s">
        <v>186</v>
      </c>
      <c r="D10" s="121">
        <f t="shared" si="0"/>
        <v>-39.883244456918327</v>
      </c>
      <c r="E10" s="121">
        <f t="shared" si="1"/>
        <v>-43.459163626157732</v>
      </c>
      <c r="F10" s="121">
        <f t="shared" si="2"/>
        <v>-49.880563798219583</v>
      </c>
      <c r="G10" s="121">
        <f t="shared" si="3"/>
        <v>-46.775964391691389</v>
      </c>
      <c r="H10" s="43">
        <v>-44</v>
      </c>
      <c r="I10" s="43">
        <v>-49</v>
      </c>
    </row>
    <row r="11" spans="2:9" x14ac:dyDescent="0.25">
      <c r="B11" t="s">
        <v>187</v>
      </c>
      <c r="D11" s="121">
        <f t="shared" si="0"/>
        <v>0</v>
      </c>
      <c r="E11" s="121">
        <f t="shared" si="1"/>
        <v>0</v>
      </c>
      <c r="F11" s="121">
        <f t="shared" si="2"/>
        <v>0</v>
      </c>
      <c r="G11" s="121">
        <f t="shared" si="3"/>
        <v>0</v>
      </c>
      <c r="H11" s="43">
        <v>0</v>
      </c>
      <c r="I11" s="43">
        <v>0</v>
      </c>
    </row>
    <row r="12" spans="2:9" x14ac:dyDescent="0.25">
      <c r="B12" s="16" t="s">
        <v>188</v>
      </c>
      <c r="C12" s="16"/>
      <c r="D12" s="52">
        <f>SUM(D5:D11)</f>
        <v>-1156.185237159697</v>
      </c>
      <c r="E12" s="52">
        <f>SUM(E5:E11)</f>
        <v>-1259.8484423238842</v>
      </c>
      <c r="F12" s="113">
        <v>-1446</v>
      </c>
      <c r="G12" s="113">
        <v>-1356</v>
      </c>
      <c r="H12" s="52">
        <f>SUM(H5:H11)</f>
        <v>-1345</v>
      </c>
      <c r="I12" s="52">
        <f>SUM(I5:I11)</f>
        <v>-1351</v>
      </c>
    </row>
    <row r="13" spans="2:9" x14ac:dyDescent="0.25">
      <c r="B13" s="4" t="s">
        <v>189</v>
      </c>
      <c r="C13" s="4"/>
      <c r="D13" s="42"/>
      <c r="E13" s="42"/>
      <c r="F13" s="1"/>
      <c r="G13" s="1"/>
      <c r="H13" s="1"/>
      <c r="I13" s="1"/>
    </row>
    <row r="14" spans="2:9" x14ac:dyDescent="0.25">
      <c r="B14" t="s">
        <v>190</v>
      </c>
      <c r="D14" s="121">
        <f t="shared" ref="D14:D16" si="4">(SUM($H14:$I14)/SUM($H$26:$I$26))*$D$26</f>
        <v>-124.79595846197024</v>
      </c>
      <c r="E14" s="121">
        <f t="shared" ref="E14:E16" si="5">(SUM($H14:$I14)/SUM($H$26:$I$26))*$E$26</f>
        <v>-135.98512489475161</v>
      </c>
      <c r="F14" s="121">
        <f>(SUM($H14:$I14)/SUM($H$17:$I$17))*$F$17</f>
        <v>-178.32621951219514</v>
      </c>
      <c r="G14" s="121">
        <f>(SUM($H14:$I14)/SUM($H$17:$I$17))*$G$17</f>
        <v>-165.46189024390245</v>
      </c>
      <c r="H14" s="43">
        <v>-147</v>
      </c>
      <c r="I14" s="43">
        <v>-144</v>
      </c>
    </row>
    <row r="15" spans="2:9" x14ac:dyDescent="0.25">
      <c r="B15" t="s">
        <v>191</v>
      </c>
      <c r="D15" s="121">
        <f t="shared" si="4"/>
        <v>-117.93432500701655</v>
      </c>
      <c r="E15" s="121">
        <f t="shared" si="5"/>
        <v>-128.50827953971373</v>
      </c>
      <c r="F15" s="121">
        <f t="shared" ref="F15:F16" si="6">(SUM($H15:$I15)/SUM($H$17:$I$17))*$F$17</f>
        <v>-168.52134146341461</v>
      </c>
      <c r="G15" s="121">
        <f t="shared" ref="G15:G16" si="7">(SUM($H15:$I15)/SUM($H$17:$I$17))*$G$17</f>
        <v>-156.36432926829266</v>
      </c>
      <c r="H15" s="43">
        <v>-137</v>
      </c>
      <c r="I15" s="43">
        <v>-138</v>
      </c>
    </row>
    <row r="16" spans="2:9" x14ac:dyDescent="0.25">
      <c r="B16" t="s">
        <v>12</v>
      </c>
      <c r="D16" s="121">
        <f t="shared" si="4"/>
        <v>-38.596688184114512</v>
      </c>
      <c r="E16" s="121">
        <f t="shared" si="5"/>
        <v>-42.057255122088129</v>
      </c>
      <c r="F16" s="121">
        <f t="shared" si="6"/>
        <v>-55.152439024390247</v>
      </c>
      <c r="G16" s="121">
        <f t="shared" si="7"/>
        <v>-51.173780487804883</v>
      </c>
      <c r="H16" s="43">
        <v>-52</v>
      </c>
      <c r="I16" s="43">
        <v>-38</v>
      </c>
    </row>
    <row r="17" spans="2:9" x14ac:dyDescent="0.25">
      <c r="B17" s="16" t="s">
        <v>192</v>
      </c>
      <c r="C17" s="16"/>
      <c r="D17" s="52">
        <f>SUM(D14:D16)</f>
        <v>-281.32697165310128</v>
      </c>
      <c r="E17" s="52">
        <f>SUM(E14:E16)</f>
        <v>-306.55065955655346</v>
      </c>
      <c r="F17" s="113">
        <v>-402</v>
      </c>
      <c r="G17" s="113">
        <v>-373</v>
      </c>
      <c r="H17" s="52">
        <f>SUM(H14:H16)</f>
        <v>-336</v>
      </c>
      <c r="I17" s="52">
        <f>SUM(I14:I16)</f>
        <v>-320</v>
      </c>
    </row>
    <row r="18" spans="2:9" x14ac:dyDescent="0.25">
      <c r="B18" s="4" t="s">
        <v>193</v>
      </c>
      <c r="C18" s="4"/>
      <c r="D18" s="42"/>
      <c r="E18" s="42"/>
      <c r="F18" s="1"/>
      <c r="G18" s="1"/>
      <c r="H18" s="1"/>
      <c r="I18" s="1"/>
    </row>
    <row r="19" spans="2:9" x14ac:dyDescent="0.25">
      <c r="B19" t="s">
        <v>194</v>
      </c>
      <c r="D19" s="121">
        <f t="shared" ref="D19:D24" si="8">(SUM($H19:$I19)/SUM($H$26:$I$26))*$D$26</f>
        <v>0</v>
      </c>
      <c r="E19" s="121">
        <f t="shared" ref="E19:E24" si="9">(SUM($H19:$I19)/SUM($H$26:$I$26))*$E$26</f>
        <v>0</v>
      </c>
      <c r="F19" s="121">
        <f>(SUM($H19:$I19)/SUM($H$25:$I$25))*$F$25</f>
        <v>0</v>
      </c>
      <c r="G19" s="121">
        <f>(SUM($H19:$I19)/SUM($H$25:$I$25))*$G$25</f>
        <v>0</v>
      </c>
      <c r="H19" s="43">
        <v>0</v>
      </c>
      <c r="I19" s="43">
        <v>0</v>
      </c>
    </row>
    <row r="20" spans="2:9" x14ac:dyDescent="0.25">
      <c r="B20" t="s">
        <v>195</v>
      </c>
      <c r="D20" s="121">
        <f t="shared" si="8"/>
        <v>0</v>
      </c>
      <c r="E20" s="121">
        <f t="shared" si="9"/>
        <v>0</v>
      </c>
      <c r="F20" s="121">
        <f t="shared" ref="F20:F24" si="10">(SUM($H20:$I20)/SUM($H$25:$I$25))*$F$25</f>
        <v>0</v>
      </c>
      <c r="G20" s="121">
        <f t="shared" ref="G20:G24" si="11">(SUM($H20:$I20)/SUM($H$25:$I$25))*$G$25</f>
        <v>0</v>
      </c>
      <c r="H20" s="43">
        <v>0</v>
      </c>
      <c r="I20" s="43">
        <v>0</v>
      </c>
    </row>
    <row r="21" spans="2:9" x14ac:dyDescent="0.25">
      <c r="B21" t="s">
        <v>196</v>
      </c>
      <c r="D21" s="121">
        <f t="shared" si="8"/>
        <v>-85.770418186921134</v>
      </c>
      <c r="E21" s="121">
        <f t="shared" si="9"/>
        <v>-93.46056693797361</v>
      </c>
      <c r="F21" s="121">
        <f t="shared" si="10"/>
        <v>-186.72985781990522</v>
      </c>
      <c r="G21" s="121">
        <f t="shared" si="11"/>
        <v>-189.57345971563981</v>
      </c>
      <c r="H21" s="43">
        <v>-115</v>
      </c>
      <c r="I21" s="43">
        <v>-85</v>
      </c>
    </row>
    <row r="22" spans="2:9" x14ac:dyDescent="0.25">
      <c r="B22" t="s">
        <v>197</v>
      </c>
      <c r="D22" s="121">
        <f t="shared" si="8"/>
        <v>-0.42885209093460569</v>
      </c>
      <c r="E22" s="121">
        <f t="shared" si="9"/>
        <v>-0.46730283468986811</v>
      </c>
      <c r="F22" s="121">
        <f t="shared" si="10"/>
        <v>-0.93364928909952616</v>
      </c>
      <c r="G22" s="121">
        <f t="shared" si="11"/>
        <v>-0.94786729857819907</v>
      </c>
      <c r="H22" s="43">
        <v>-1</v>
      </c>
      <c r="I22" s="43">
        <v>0</v>
      </c>
    </row>
    <row r="23" spans="2:9" x14ac:dyDescent="0.25">
      <c r="B23" t="s">
        <v>198</v>
      </c>
      <c r="D23" s="121">
        <f t="shared" si="8"/>
        <v>-0.85770418186921138</v>
      </c>
      <c r="E23" s="121">
        <f t="shared" si="9"/>
        <v>-0.93460566937973621</v>
      </c>
      <c r="F23" s="121">
        <f t="shared" si="10"/>
        <v>-1.8672985781990523</v>
      </c>
      <c r="G23" s="121">
        <f t="shared" si="11"/>
        <v>-1.8957345971563981</v>
      </c>
      <c r="H23" s="43">
        <v>0</v>
      </c>
      <c r="I23" s="43">
        <v>-2</v>
      </c>
    </row>
    <row r="24" spans="2:9" x14ac:dyDescent="0.25">
      <c r="B24" t="s">
        <v>199</v>
      </c>
      <c r="D24" s="121">
        <f t="shared" si="8"/>
        <v>-3.4308167274768455</v>
      </c>
      <c r="E24" s="121">
        <f t="shared" si="9"/>
        <v>-3.7384226775189449</v>
      </c>
      <c r="F24" s="121">
        <f t="shared" si="10"/>
        <v>-7.4691943127962093</v>
      </c>
      <c r="G24" s="121">
        <f t="shared" si="11"/>
        <v>-7.5829383886255926</v>
      </c>
      <c r="H24" s="43">
        <v>-4</v>
      </c>
      <c r="I24" s="43">
        <v>-4</v>
      </c>
    </row>
    <row r="25" spans="2:9" x14ac:dyDescent="0.25">
      <c r="B25" s="107" t="s">
        <v>200</v>
      </c>
      <c r="C25" s="107"/>
      <c r="D25" s="108">
        <f>SUM(D19:D24)</f>
        <v>-90.487791187201807</v>
      </c>
      <c r="E25" s="108">
        <f>SUM(E19:E24)</f>
        <v>-98.60089811956216</v>
      </c>
      <c r="F25" s="112">
        <v>-197</v>
      </c>
      <c r="G25" s="112">
        <v>-200</v>
      </c>
      <c r="H25" s="108">
        <f>SUM(H19:H24)</f>
        <v>-120</v>
      </c>
      <c r="I25" s="108">
        <f>SUM(I19:I24)</f>
        <v>-91</v>
      </c>
    </row>
    <row r="26" spans="2:9" x14ac:dyDescent="0.25">
      <c r="B26" s="109" t="s">
        <v>201</v>
      </c>
      <c r="C26" s="109"/>
      <c r="D26" s="111">
        <v>-1528</v>
      </c>
      <c r="E26" s="111">
        <v>-1665</v>
      </c>
      <c r="F26" s="110">
        <f t="shared" ref="F26:G26" si="12">F12+F17+F25</f>
        <v>-2045</v>
      </c>
      <c r="G26" s="110">
        <f t="shared" si="12"/>
        <v>-1929</v>
      </c>
      <c r="H26" s="110">
        <f>H12+H17+H25</f>
        <v>-1801</v>
      </c>
      <c r="I26" s="110">
        <f>I12+I17+I25</f>
        <v>-1762</v>
      </c>
    </row>
    <row r="28" spans="2:9" x14ac:dyDescent="0.25">
      <c r="B28" s="101" t="s">
        <v>172</v>
      </c>
    </row>
    <row r="29" spans="2:9" x14ac:dyDescent="0.25">
      <c r="B29" s="104" t="s">
        <v>173</v>
      </c>
      <c r="C29" s="102" t="s">
        <v>174</v>
      </c>
    </row>
    <row r="30" spans="2:9" x14ac:dyDescent="0.25">
      <c r="B30" s="104" t="s">
        <v>175</v>
      </c>
      <c r="C30" s="102" t="s">
        <v>177</v>
      </c>
    </row>
    <row r="31" spans="2:9" x14ac:dyDescent="0.25">
      <c r="B31" s="104" t="s">
        <v>176</v>
      </c>
      <c r="C31" s="103" t="s">
        <v>178</v>
      </c>
    </row>
  </sheetData>
  <hyperlinks>
    <hyperlink ref="C29" r:id="rId1" xr:uid="{A086D066-CE2D-0E4F-827C-BF8095BECFAD}"/>
    <hyperlink ref="C30" r:id="rId2" xr:uid="{5C1F64FD-610D-6541-9F61-31C27E0C7BD5}"/>
    <hyperlink ref="C31" r:id="rId3" xr:uid="{1EF66FDE-1FBD-344B-8264-BFAFEA63DB2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9F67E-BDE7-BD4D-BAD8-B2AF6058DBEC}">
  <dimension ref="B1:H13"/>
  <sheetViews>
    <sheetView showGridLines="0" workbookViewId="0">
      <selection activeCell="D20" sqref="D20"/>
    </sheetView>
  </sheetViews>
  <sheetFormatPr defaultColWidth="10.8515625" defaultRowHeight="16.5" x14ac:dyDescent="0.25"/>
  <cols>
    <col min="1" max="1" width="4.3125" customWidth="1"/>
    <col min="2" max="2" width="28.85546875" customWidth="1"/>
    <col min="4" max="5" width="15.2890625" customWidth="1"/>
    <col min="6" max="6" width="11.9609375" bestFit="1" customWidth="1"/>
  </cols>
  <sheetData>
    <row r="1" spans="2:8" ht="21" x14ac:dyDescent="0.3">
      <c r="B1" s="148" t="s">
        <v>248</v>
      </c>
    </row>
    <row r="3" spans="2:8" x14ac:dyDescent="0.25">
      <c r="B3" s="31" t="s">
        <v>213</v>
      </c>
      <c r="C3" s="31" t="s">
        <v>214</v>
      </c>
      <c r="D3" s="31" t="s">
        <v>215</v>
      </c>
      <c r="E3" s="31" t="s">
        <v>239</v>
      </c>
      <c r="F3" s="31" t="s">
        <v>238</v>
      </c>
      <c r="G3" s="31" t="s">
        <v>237</v>
      </c>
      <c r="H3" s="31" t="s">
        <v>216</v>
      </c>
    </row>
    <row r="4" spans="2:8" x14ac:dyDescent="0.25">
      <c r="B4" t="s">
        <v>217</v>
      </c>
      <c r="C4" t="s">
        <v>218</v>
      </c>
      <c r="D4" t="s">
        <v>219</v>
      </c>
      <c r="E4" s="146">
        <v>45162</v>
      </c>
      <c r="F4" s="1">
        <f>1886340/1000</f>
        <v>1886.34</v>
      </c>
      <c r="G4" s="1">
        <v>591</v>
      </c>
      <c r="H4" s="1">
        <f>F4/G4</f>
        <v>3.1917766497461928</v>
      </c>
    </row>
    <row r="5" spans="2:8" x14ac:dyDescent="0.25">
      <c r="B5" t="s">
        <v>220</v>
      </c>
      <c r="C5" t="s">
        <v>221</v>
      </c>
      <c r="D5" t="s">
        <v>222</v>
      </c>
      <c r="E5" s="146">
        <v>45382</v>
      </c>
      <c r="F5" s="1">
        <v>20920</v>
      </c>
      <c r="G5" s="1">
        <f>3037.1+2727.5-424.5</f>
        <v>5340.1</v>
      </c>
      <c r="H5" s="1">
        <f>F5/G5</f>
        <v>3.9175296342765114</v>
      </c>
    </row>
    <row r="6" spans="2:8" x14ac:dyDescent="0.25">
      <c r="B6" t="s">
        <v>223</v>
      </c>
      <c r="C6" s="145" t="s">
        <v>226</v>
      </c>
      <c r="D6" t="s">
        <v>225</v>
      </c>
      <c r="E6" s="146">
        <v>45364</v>
      </c>
      <c r="F6" s="1">
        <v>51050</v>
      </c>
      <c r="G6" s="1">
        <v>15125</v>
      </c>
      <c r="H6" s="1">
        <f>F6/G6</f>
        <v>3.3752066115702481</v>
      </c>
    </row>
    <row r="7" spans="2:8" x14ac:dyDescent="0.25">
      <c r="B7" t="s">
        <v>224</v>
      </c>
      <c r="C7" t="s">
        <v>227</v>
      </c>
      <c r="D7" t="s">
        <v>228</v>
      </c>
      <c r="E7" s="146">
        <v>45334</v>
      </c>
      <c r="F7" s="1">
        <v>26710</v>
      </c>
      <c r="G7" s="1">
        <f>5608+834</f>
        <v>6442</v>
      </c>
      <c r="H7" s="1">
        <f>F7/G7</f>
        <v>4.1462278795405156</v>
      </c>
    </row>
    <row r="8" spans="2:8" x14ac:dyDescent="0.25">
      <c r="B8" t="s">
        <v>229</v>
      </c>
      <c r="C8" t="s">
        <v>230</v>
      </c>
      <c r="D8" t="s">
        <v>231</v>
      </c>
      <c r="E8" s="146">
        <v>45351</v>
      </c>
      <c r="F8" s="1">
        <v>14250</v>
      </c>
      <c r="G8" s="1">
        <f>4214+27+96</f>
        <v>4337</v>
      </c>
      <c r="H8" s="1">
        <f>F8/G8</f>
        <v>3.2856813465529169</v>
      </c>
    </row>
    <row r="9" spans="2:8" x14ac:dyDescent="0.25">
      <c r="B9" t="s">
        <v>232</v>
      </c>
      <c r="C9" t="s">
        <v>233</v>
      </c>
      <c r="D9" t="s">
        <v>231</v>
      </c>
      <c r="E9" s="146">
        <v>45343</v>
      </c>
      <c r="F9" s="1">
        <v>6820</v>
      </c>
      <c r="G9" s="1">
        <f>3069-359</f>
        <v>2710</v>
      </c>
      <c r="H9" s="1">
        <f>F9/G9</f>
        <v>2.5166051660516606</v>
      </c>
    </row>
    <row r="10" spans="2:8" x14ac:dyDescent="0.25">
      <c r="B10" t="s">
        <v>234</v>
      </c>
      <c r="C10" t="s">
        <v>235</v>
      </c>
      <c r="D10" t="s">
        <v>236</v>
      </c>
      <c r="E10" s="146">
        <v>45348</v>
      </c>
      <c r="F10" s="1">
        <v>6790</v>
      </c>
      <c r="G10" s="1">
        <f>2456+121+92-4</f>
        <v>2665</v>
      </c>
      <c r="H10" s="1">
        <f>F10/G10</f>
        <v>2.547842401500938</v>
      </c>
    </row>
    <row r="11" spans="2:8" x14ac:dyDescent="0.25">
      <c r="F11" s="1"/>
      <c r="G11" s="1"/>
      <c r="H11" s="1"/>
    </row>
    <row r="12" spans="2:8" x14ac:dyDescent="0.25">
      <c r="B12" s="101" t="s">
        <v>172</v>
      </c>
    </row>
    <row r="13" spans="2:8" x14ac:dyDescent="0.25">
      <c r="B13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1.0 Qantas DCF</vt:lpstr>
      <vt:lpstr>2. FY23 P&amp;L</vt:lpstr>
      <vt:lpstr>3. FY23 Cash Flow</vt:lpstr>
      <vt:lpstr>4. Revenue Drivers</vt:lpstr>
      <vt:lpstr>5. Working Capital</vt:lpstr>
      <vt:lpstr>6. Effective Tax Rate</vt:lpstr>
      <vt:lpstr>7. Depreciation &amp; Amortisation</vt:lpstr>
      <vt:lpstr>8. Comparables</vt:lpstr>
      <vt:lpstr>Diluted_Shares</vt:lpstr>
      <vt:lpstr>Discount_Rate</vt:lpstr>
      <vt:lpstr>Share_Price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Archie Sampson</dc:creator>
  <cp:lastModifiedBy>Archie Sampson</cp:lastModifiedBy>
  <dcterms:created xsi:type="dcterms:W3CDTF">2024-08-22T00:54:53Z</dcterms:created>
  <dcterms:modified xsi:type="dcterms:W3CDTF">2024-08-26T23:16:09Z</dcterms:modified>
</cp:coreProperties>
</file>